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be\Disk Google\Honzik\4. Jarní 2019\F4210 Fyzikální praktikum 3\Beran\Protokol_04\data\"/>
    </mc:Choice>
  </mc:AlternateContent>
  <xr:revisionPtr revIDLastSave="0" documentId="13_ncr:1_{2644754D-2007-4D11-906C-62EC9AA2B72D}" xr6:coauthVersionLast="41" xr6:coauthVersionMax="41" xr10:uidLastSave="{00000000-0000-0000-0000-000000000000}"/>
  <bookViews>
    <workbookView xWindow="-21570" yWindow="-4650" windowWidth="18540" windowHeight="14430" activeTab="2" xr2:uid="{EC70BE44-CD32-4FA8-842A-8643D0864D6E}"/>
  </bookViews>
  <sheets>
    <sheet name="Do LaTeXu" sheetId="1" r:id="rId1"/>
    <sheet name="Výpočet Fe" sheetId="2" r:id="rId2"/>
    <sheet name="Výpočet OH" sheetId="3" r:id="rId3"/>
  </sheets>
  <definedNames>
    <definedName name="ExterníData_1" localSheetId="1" hidden="1">'Výpočet Fe'!$A$1:$H$22</definedName>
    <definedName name="ExterníData_1" localSheetId="2" hidden="1">'Výpočet OH'!$A$1:$H$6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3" l="1"/>
  <c r="L10" i="3"/>
  <c r="J11" i="3"/>
  <c r="J10" i="3"/>
  <c r="G9" i="3"/>
  <c r="G10" i="3"/>
  <c r="G11" i="3"/>
  <c r="G12" i="3"/>
  <c r="G13" i="3"/>
  <c r="E9" i="3"/>
  <c r="E10" i="3"/>
  <c r="F10" i="3" s="1"/>
  <c r="E11" i="3"/>
  <c r="F11" i="3" s="1"/>
  <c r="E12" i="3"/>
  <c r="F12" i="3" s="1"/>
  <c r="E13" i="3"/>
  <c r="F13" i="3" s="1"/>
  <c r="F9" i="3"/>
  <c r="C13" i="3"/>
  <c r="C12" i="3"/>
  <c r="C11" i="3"/>
  <c r="C10" i="3"/>
  <c r="C9" i="3"/>
  <c r="C22" i="1"/>
  <c r="I22" i="1" s="1"/>
  <c r="C21" i="1"/>
  <c r="I21" i="1" s="1"/>
  <c r="C20" i="1"/>
  <c r="I20" i="1" s="1"/>
  <c r="C19" i="1"/>
  <c r="I19" i="1" s="1"/>
  <c r="C18" i="1"/>
  <c r="I18" i="1" s="1"/>
  <c r="C17" i="1"/>
  <c r="I17" i="1" s="1"/>
  <c r="C16" i="1"/>
  <c r="I16" i="1" s="1"/>
  <c r="C15" i="1"/>
  <c r="I15" i="1" s="1"/>
  <c r="C14" i="1"/>
  <c r="I14" i="1" s="1"/>
  <c r="C13" i="1"/>
  <c r="I13" i="1" s="1"/>
  <c r="C12" i="1"/>
  <c r="I12" i="1" s="1"/>
  <c r="I11" i="1"/>
  <c r="C11" i="1"/>
  <c r="C10" i="1"/>
  <c r="I10" i="1" s="1"/>
  <c r="C9" i="1"/>
  <c r="I9" i="1" s="1"/>
  <c r="C8" i="1"/>
  <c r="I8" i="1" s="1"/>
  <c r="C7" i="1"/>
  <c r="I7" i="1" s="1"/>
  <c r="I6" i="1"/>
  <c r="C6" i="1"/>
  <c r="C5" i="1"/>
  <c r="I5" i="1" s="1"/>
  <c r="C4" i="1"/>
  <c r="I4" i="1" s="1"/>
  <c r="I3" i="1"/>
  <c r="C3" i="1"/>
  <c r="I2" i="1"/>
  <c r="C2" i="1"/>
  <c r="K26" i="2"/>
  <c r="K25" i="2"/>
  <c r="H26" i="2"/>
  <c r="H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25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28F266A-EB75-42DB-9780-48126BC454DA}" keepAlive="1" name="Dotaz – Fe_peaks" description="Připojení k dotazu produktu Fe_peaks v sešitě" type="5" refreshedVersion="6" background="1" saveData="1">
    <dbPr connection="Provider=Microsoft.Mashup.OleDb.1;Data Source=$Workbook$;Location=Fe_peaks;Extended Properties=&quot;&quot;" command="SELECT * FROM [Fe_peaks]"/>
  </connection>
  <connection id="2" xr16:uid="{DA8836AF-7CD4-4FC2-9697-E7F33282DD48}" keepAlive="1" name="Dotaz – OH_peaks" description="Připojení k dotazu produktu OH_peaks v sešitě" type="5" refreshedVersion="6" background="1" saveData="1">
    <dbPr connection="Provider=Microsoft.Mashup.OleDb.1;Data Source=$Workbook$;Location=OH_peaks;Extended Properties=&quot;&quot;" command="SELECT * FROM [OH_peaks]"/>
  </connection>
</connections>
</file>

<file path=xl/sharedStrings.xml><?xml version="1.0" encoding="utf-8"?>
<sst xmlns="http://schemas.openxmlformats.org/spreadsheetml/2006/main" count="258" uniqueCount="45">
  <si>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</si>
  <si>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</si>
  <si>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</si>
  <si>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</si>
  <si>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</si>
  <si>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</si>
  <si>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</si>
  <si>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</si>
  <si>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lambda</t>
  </si>
  <si>
    <t xml:space="preserve">Intenzita </t>
  </si>
  <si>
    <t>Ze8,dat</t>
  </si>
  <si>
    <t>$A_{mn}g_m \cdot 10^8$</t>
  </si>
  <si>
    <t>$I_mn$ [Wm$^{-3}]</t>
  </si>
  <si>
    <t>$\lambda_{mn} [nm]</t>
  </si>
  <si>
    <t>$E_m \cdot 10^{-19}$ [eV]</t>
  </si>
  <si>
    <t xml:space="preserve"> \ln{\left( \frac{I_{mn} \lambda_{mn}}{A_{mn} g_m} \right)} </t>
  </si>
  <si>
    <t>Směrnice</t>
  </si>
  <si>
    <t>A</t>
  </si>
  <si>
    <t>Hodnota</t>
  </si>
  <si>
    <t>Odchylka</t>
  </si>
  <si>
    <t>Teplota</t>
  </si>
  <si>
    <t>Teplota (Maple)</t>
  </si>
  <si>
    <t>T</t>
  </si>
  <si>
    <t>dT</t>
  </si>
  <si>
    <t>\\</t>
  </si>
  <si>
    <t>\hline</t>
  </si>
  <si>
    <t>&amp;</t>
  </si>
  <si>
    <t>&amp;2</t>
  </si>
  <si>
    <t>$I_mn$ [Wm$^{-3}$]</t>
  </si>
  <si>
    <t xml:space="preserve"> $\ln{\left( \frac{I_{mn} \lambda_{mn}}{A_{mn} g_m} \right)} $</t>
  </si>
  <si>
    <t>08,txt</t>
  </si>
  <si>
    <t>$\lambda$ [nm]</t>
  </si>
  <si>
    <t>$N'$</t>
  </si>
  <si>
    <t>$I_{n'' v'' J''}^{n' v' J'}$</t>
  </si>
  <si>
    <t>$S_{J'J''}$</t>
  </si>
  <si>
    <t>$\wildetilde{v}^4</t>
  </si>
  <si>
    <t>$\wildetilde{v}^5</t>
  </si>
  <si>
    <t>$N'(N'+1)$</t>
  </si>
  <si>
    <t>Smernice</t>
  </si>
  <si>
    <t>Program</t>
  </si>
  <si>
    <t>&amp;3</t>
  </si>
  <si>
    <t>&amp;4</t>
  </si>
  <si>
    <t>&amp;5</t>
  </si>
  <si>
    <t>&amp;6</t>
  </si>
  <si>
    <t>\\ \hline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</si>
</sst>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0.000"/>
    <numFmt numFmtId="168" formatCode="0.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11" fontId="0" fillId="0" borderId="0" xfId="0" applyNumberFormat="1"/>
    <xf numFmtId="2" fontId="0" fillId="3" borderId="2" xfId="0" applyNumberFormat="1" applyFill="1" applyBorder="1"/>
    <xf numFmtId="2" fontId="0" fillId="3" borderId="1" xfId="0" applyNumberFormat="1" applyFill="1" applyBorder="1"/>
    <xf numFmtId="2" fontId="0" fillId="0" borderId="1" xfId="0" applyNumberFormat="1" applyBorder="1"/>
    <xf numFmtId="2" fontId="0" fillId="0" borderId="2" xfId="0" applyNumberFormat="1" applyBorder="1"/>
    <xf numFmtId="167" fontId="0" fillId="3" borderId="1" xfId="0" applyNumberFormat="1" applyFill="1" applyBorder="1"/>
    <xf numFmtId="167" fontId="0" fillId="3" borderId="2" xfId="0" applyNumberFormat="1" applyFill="1" applyBorder="1"/>
    <xf numFmtId="167" fontId="0" fillId="0" borderId="1" xfId="0" applyNumberFormat="1" applyBorder="1"/>
    <xf numFmtId="167" fontId="0" fillId="0" borderId="2" xfId="0" applyNumberFormat="1" applyBorder="1"/>
    <xf numFmtId="0" fontId="2" fillId="4" borderId="0" xfId="0" applyFont="1" applyFill="1"/>
    <xf numFmtId="167" fontId="0" fillId="0" borderId="0" xfId="0" applyNumberFormat="1"/>
    <xf numFmtId="168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0" fontId="3" fillId="4" borderId="0" xfId="1" applyFill="1"/>
    <xf numFmtId="0" fontId="3" fillId="0" borderId="0" xfId="1"/>
    <xf numFmtId="2" fontId="0" fillId="3" borderId="3" xfId="0" applyNumberFormat="1" applyFill="1" applyBorder="1"/>
    <xf numFmtId="2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</cellXfs>
  <cellStyles count="2">
    <cellStyle name="Hypertextový odkaz" xfId="1" builtinId="8"/>
    <cellStyle name="Normální" xfId="0" builtinId="0"/>
  </cellStyles>
  <dxfs count="22">
    <dxf>
      <numFmt numFmtId="167" formatCode="0.000"/>
    </dxf>
    <dxf>
      <numFmt numFmtId="167" formatCode="0.000"/>
    </dxf>
    <dxf>
      <numFmt numFmtId="2" formatCode="0.00"/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numFmt numFmtId="2" formatCode="0.00"/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numFmt numFmtId="2" formatCode="0.00"/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9" tint="0.39997558519241921"/>
        </left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numFmt numFmtId="2" formatCode="0.00"/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9" tint="0.39997558519241921"/>
        </left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numFmt numFmtId="2" formatCode="0.00"/>
    </dxf>
    <dxf>
      <numFmt numFmtId="0" formatCode="General"/>
    </dxf>
    <dxf>
      <numFmt numFmtId="0" formatCode="General"/>
    </dxf>
    <dxf>
      <numFmt numFmtId="0" formatCode="General"/>
    </dxf>
    <dxf>
      <numFmt numFmtId="167" formatCode="0.000"/>
    </dxf>
    <dxf>
      <numFmt numFmtId="2" formatCode="0.00"/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numFmt numFmtId="2" formatCode="0.00"/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9" tint="0.39997558519241921"/>
        </left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numFmt numFmtId="2" formatCode="0.00"/>
    </dxf>
    <dxf>
      <font>
        <b/>
        <color theme="0"/>
      </font>
      <numFmt numFmtId="167" formatCode="0.000"/>
      <fill>
        <patternFill patternType="solid">
          <fgColor theme="9"/>
          <bgColor theme="9"/>
        </patternFill>
      </fill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/>
        <color theme="0"/>
      </font>
      <numFmt numFmtId="168" formatCode="0.0000"/>
      <fill>
        <patternFill patternType="solid">
          <fgColor theme="9"/>
          <bgColor theme="9"/>
        </patternFill>
      </fill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numFmt numFmtId="167" formatCode="0.000"/>
    </dxf>
    <dxf>
      <numFmt numFmtId="168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</dxf>
    <dxf>
      <numFmt numFmtId="167" formatCode="0.000"/>
    </dxf>
    <dxf>
      <numFmt numFmtId="168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1" xr16:uid="{FA15EF8A-FC95-4B22-BD94-88EA0EC753C5}" autoFormatId="16" applyNumberFormats="0" applyBorderFormats="0" applyFontFormats="0" applyPatternFormats="0" applyAlignmentFormats="0" applyWidthHeightFormats="0">
  <queryTableRefresh nextId="9">
    <queryTableFields count="8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2" xr16:uid="{EA8F0C37-4311-43CD-95D4-5E6CA6A6E8FB}" autoFormatId="16" applyNumberFormats="0" applyBorderFormats="0" applyFontFormats="0" applyPatternFormats="0" applyAlignmentFormats="0" applyWidthHeightFormats="0">
  <queryTableRefresh nextId="9">
    <queryTableFields count="8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F0379D2-E125-4BAF-8CC7-0FDF239952BB}" name="Tabulka24" displayName="Tabulka24" ref="E1:K22" totalsRowShown="0" headerRowDxfId="18">
  <autoFilter ref="E1:K22" xr:uid="{8EDAA764-6533-4DC2-B557-5579E3465826}"/>
  <tableColumns count="7">
    <tableColumn id="1" xr3:uid="{90FA0E4D-D2A8-4927-8D76-D34CC440C8C6}" name="$A_{mn}g_m \cdot 10^8$" dataDxfId="17"/>
    <tableColumn id="4" xr3:uid="{F1777D9C-EEF7-4157-99AD-2DC56694DE5A}" name="&amp;" dataDxfId="15"/>
    <tableColumn id="2" xr3:uid="{24C84E25-26C5-4934-9C18-581424C047D1}" name="$E_m \cdot 10^{-19}$ [eV]" dataDxfId="16"/>
    <tableColumn id="5" xr3:uid="{F868E3F6-4806-40A6-8F04-1557F5D930D0}" name="&amp;2" dataDxfId="14"/>
    <tableColumn id="3" xr3:uid="{63C1B102-291E-44C5-833C-D8DB69C47015}" name=" $\ln{\left( \frac{I_{mn} \lambda_{mn}}{A_{mn} g_m} \right)} $">
      <calculatedColumnFormula>LN((C2*10^(3)*A2*10^(-9))/(E2*10^(8)))</calculatedColumnFormula>
    </tableColumn>
    <tableColumn id="6" xr3:uid="{723A5E69-9026-4D4D-87B5-0AA740C514D6}" name="\\"/>
    <tableColumn id="7" xr3:uid="{D307DAEE-CA5D-448F-91BD-43A64FE0C2BD}" name="\hline"/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1AECC53-A32E-4DA7-ACD6-C2B013203DC9}" name="Tabulka57" displayName="Tabulka57" ref="A25:L30" totalsRowShown="0">
  <autoFilter ref="A25:L30" xr:uid="{BD698FDB-B4BE-41DD-A665-8792C27A338E}"/>
  <tableColumns count="12">
    <tableColumn id="1" xr3:uid="{536F9B26-C008-4605-80F5-C1DF3263B00F}" name="$N'$" dataDxfId="6"/>
    <tableColumn id="2" xr3:uid="{F998A6F5-5FC4-4F90-99C5-CBE30B8E6FF9}" name="&amp;" dataDxfId="5"/>
    <tableColumn id="3" xr3:uid="{6A3FDFDE-0242-47BA-9E36-7C58E831D1C1}" name="$\lambda$ [nm]" dataDxfId="4"/>
    <tableColumn id="4" xr3:uid="{C19EF0D4-D303-4775-B4CE-FBF4612A87DB}" name="&amp;2" dataDxfId="3"/>
    <tableColumn id="5" xr3:uid="{0C138DF8-B781-4DBE-ACBE-074C5160BBBC}" name="$I_{n'' v'' J''}^{n' v' J'}$" dataDxfId="2"/>
    <tableColumn id="6" xr3:uid="{08093A3C-CE80-4093-9C89-28A2D497E9D6}" name="&amp;3" dataDxfId="1"/>
    <tableColumn id="7" xr3:uid="{82750941-ED41-4D6E-BEFA-EFEC294660A5}" name="$S_{J'J''}$" dataDxfId="0"/>
    <tableColumn id="8" xr3:uid="{ECE22DCA-06B2-4A3C-8D8B-C0FD8FE2270F}" name="&amp;4"/>
    <tableColumn id="9" xr3:uid="{8E51059F-2144-4228-963B-3CF9875BD2E3}" name="$\wildetilde{v}^4"/>
    <tableColumn id="10" xr3:uid="{E57566CC-922A-4DEB-BD3A-4A695EFECE2D}" name="&amp;5"/>
    <tableColumn id="11" xr3:uid="{2658293A-04CE-4FF8-9D51-B9152109F034}" name="$\wildetilde{v}^5"/>
    <tableColumn id="12" xr3:uid="{E36CED2A-CF64-42F9-BB89-7FC31913B02E}" name="&amp;6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13C5D4-C186-4AE8-8754-F5D12E597BCD}" name="Fe_peaks" displayName="Fe_peaks" ref="A1:H22" tableType="queryTable" totalsRowShown="0">
  <autoFilter ref="A1:H22" xr:uid="{CCCCBC2A-86E5-47BF-B798-8D7C2D34CECF}"/>
  <tableColumns count="8">
    <tableColumn id="1" xr3:uid="{56073A94-05CB-406D-904F-DE3C926AE3F3}" uniqueName="1" name="lambda" queryTableFieldId="1"/>
    <tableColumn id="2" xr3:uid="{AB6B703E-0F8E-404F-A6BA-BD1EDC5E7371}" uniqueName="2" name="Column2" queryTableFieldId="2"/>
    <tableColumn id="3" xr3:uid="{5A5047B4-61CF-4845-9378-812594C66755}" uniqueName="3" name="Column3" queryTableFieldId="3"/>
    <tableColumn id="4" xr3:uid="{86D9B28B-8110-44BF-A484-01B222A861BC}" uniqueName="4" name="Intenzita " queryTableFieldId="4"/>
    <tableColumn id="5" xr3:uid="{E50C17E4-A8CA-4F21-BB8D-3D33665BDA94}" uniqueName="5" name="Column5" queryTableFieldId="5"/>
    <tableColumn id="6" xr3:uid="{5FC173B8-D22A-4B49-84D7-427E8C85D21A}" uniqueName="6" name="Column6" queryTableFieldId="6"/>
    <tableColumn id="7" xr3:uid="{849D1601-3AA6-46B2-85E6-6EDC09EBBE71}" uniqueName="7" name="Column7" queryTableFieldId="7"/>
    <tableColumn id="8" xr3:uid="{80059CF0-79BB-4042-9BFC-8C12D5305098}" uniqueName="8" name="Column8" queryTableFieldId="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F5CEFA-ECD2-4176-87C5-BBB9CED0C106}" name="Tabulka2" displayName="Tabulka2" ref="C24:E45" totalsRowShown="0" headerRowDxfId="21">
  <autoFilter ref="C24:E45" xr:uid="{5DDE3333-B40D-4961-A8F9-A4C1AEFE1F76}"/>
  <tableColumns count="3">
    <tableColumn id="1" xr3:uid="{7DCB4F41-7DF8-493C-9660-668EEB1A257F}" name="$A_{mn}g_m \cdot 10^8$" dataDxfId="20"/>
    <tableColumn id="2" xr3:uid="{469ADD4B-2FC3-413E-A195-A5D22AD21F34}" name="$E_m \cdot 10^{-19}$ [eV]" dataDxfId="19"/>
    <tableColumn id="3" xr3:uid="{56D01427-8B2B-421D-85D0-49E8D752433B}" name=" \ln{\left( \frac{I_{mn} \lambda_{mn}}{A_{mn} g_m} \right)} ">
      <calculatedColumnFormula>LN((B25*10^(3)*A25*10^(-9))/(C25*10^(8)))</calculatedColumnFormula>
    </tableColumn>
  </tableColumns>
  <tableStyleInfo name="TableStyleLight1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250586-8D6D-40DA-A6D1-E8AFDFA02126}" name="OH_peaks" displayName="OH_peaks" ref="A1:H6" tableType="queryTable" totalsRowShown="0">
  <autoFilter ref="A1:H6" xr:uid="{59969FB6-376B-447F-A90B-A32A04AC7E7D}"/>
  <tableColumns count="8">
    <tableColumn id="1" xr3:uid="{B9771D43-29B3-4546-B4D7-856CE38C6C1F}" uniqueName="1" name="Column1" queryTableFieldId="1"/>
    <tableColumn id="2" xr3:uid="{2ABA4E48-0023-4D2E-AD38-7BB2DBB1D6CC}" uniqueName="2" name="Column2" queryTableFieldId="2"/>
    <tableColumn id="3" xr3:uid="{21845620-207E-4CEE-94C7-9360D777298D}" uniqueName="3" name="Column3" queryTableFieldId="3"/>
    <tableColumn id="4" xr3:uid="{D9DD15AB-D814-4168-8677-9C925ADE54D1}" uniqueName="4" name="Column4" queryTableFieldId="4"/>
    <tableColumn id="5" xr3:uid="{CC7D3393-921C-4EEF-B29E-05D17DDACDDD}" uniqueName="5" name="Column5" queryTableFieldId="5"/>
    <tableColumn id="6" xr3:uid="{9B6F848F-CCB7-4A51-BC87-AD7FAA2B31E8}" uniqueName="6" name="Column6" queryTableFieldId="6"/>
    <tableColumn id="7" xr3:uid="{A345FA40-4ECE-41A9-BB8B-AD2E89A14920}" uniqueName="7" name="Column7" queryTableFieldId="7"/>
    <tableColumn id="8" xr3:uid="{41292D6B-2DC7-4F6F-A312-9EFD8B9A5D52}" uniqueName="8" name="Column8" queryTableFieldId="8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D72DA02-2A4A-4372-B226-BB031BA7FD86}" name="Tabulka5" displayName="Tabulka5" ref="A8:G13" totalsRowShown="0">
  <autoFilter ref="A8:G13" xr:uid="{51E082CE-0D1D-499C-901B-B776E470DD47}"/>
  <tableColumns count="7">
    <tableColumn id="1" xr3:uid="{C6F4CCC0-0CAD-43F2-BEF4-459E5285D2FE}" name="$N'$" dataDxfId="13"/>
    <tableColumn id="2" xr3:uid="{D7355F20-0B64-47B8-AFB3-4A398FB84F4B}" name="$\lambda$ [nm]" dataDxfId="12"/>
    <tableColumn id="3" xr3:uid="{EF3F9DB6-A955-4CC6-B462-45DE9CC0AA33}" name="$I_{n'' v'' J''}^{n' v' J'}$" dataDxfId="11"/>
    <tableColumn id="4" xr3:uid="{282957EA-6FB6-44F0-B7A1-0BA95EC906DE}" name="$S_{J'J''}$" dataDxfId="10"/>
    <tableColumn id="5" xr3:uid="{EA370115-7D1C-403D-99AD-E9E8BEB295B2}" name="$\wildetilde{v}^4" dataDxfId="8">
      <calculatedColumnFormula>1/(Tabulka5[[#This Row],[$\lambda$ '[nm']]]*10^(-9))</calculatedColumnFormula>
    </tableColumn>
    <tableColumn id="6" xr3:uid="{A37E117E-FCB3-4211-80A6-063884ADB270}" name="$\wildetilde{v}^5" dataDxfId="9">
      <calculatedColumnFormula>LN(Tabulka5[[#This Row],[$I_{n'''' v'''' J''''}^{n'' v'' J''}$]]/((Tabulka5[[#This Row],[$\wildetilde{v}^4]])^4*Tabulka5[[#This Row],[$S_{J''J''''}$]]))</calculatedColumnFormula>
    </tableColumn>
    <tableColumn id="7" xr3:uid="{A8781575-AD4A-49A0-BFB6-BA15B4E93366}" name="$N'(N'+1)$" dataDxfId="7">
      <calculatedColumnFormula>Tabulka5[[#This Row],[$N''$]]*(Tabulka5[[#This Row],[$N''$]]+1)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\" TargetMode="External"/><Relationship Id="rId13" Type="http://schemas.openxmlformats.org/officeDocument/2006/relationships/hyperlink" Target="\" TargetMode="External"/><Relationship Id="rId18" Type="http://schemas.openxmlformats.org/officeDocument/2006/relationships/hyperlink" Target="\" TargetMode="External"/><Relationship Id="rId3" Type="http://schemas.openxmlformats.org/officeDocument/2006/relationships/hyperlink" Target="\" TargetMode="External"/><Relationship Id="rId21" Type="http://schemas.openxmlformats.org/officeDocument/2006/relationships/hyperlink" Target="\" TargetMode="External"/><Relationship Id="rId7" Type="http://schemas.openxmlformats.org/officeDocument/2006/relationships/hyperlink" Target="\" TargetMode="External"/><Relationship Id="rId12" Type="http://schemas.openxmlformats.org/officeDocument/2006/relationships/hyperlink" Target="\" TargetMode="External"/><Relationship Id="rId17" Type="http://schemas.openxmlformats.org/officeDocument/2006/relationships/hyperlink" Target="\" TargetMode="External"/><Relationship Id="rId2" Type="http://schemas.openxmlformats.org/officeDocument/2006/relationships/hyperlink" Target="\" TargetMode="External"/><Relationship Id="rId16" Type="http://schemas.openxmlformats.org/officeDocument/2006/relationships/hyperlink" Target="\" TargetMode="External"/><Relationship Id="rId20" Type="http://schemas.openxmlformats.org/officeDocument/2006/relationships/hyperlink" Target="\" TargetMode="External"/><Relationship Id="rId1" Type="http://schemas.openxmlformats.org/officeDocument/2006/relationships/hyperlink" Target="\" TargetMode="External"/><Relationship Id="rId6" Type="http://schemas.openxmlformats.org/officeDocument/2006/relationships/hyperlink" Target="\" TargetMode="External"/><Relationship Id="rId11" Type="http://schemas.openxmlformats.org/officeDocument/2006/relationships/hyperlink" Target="\" TargetMode="External"/><Relationship Id="rId24" Type="http://schemas.openxmlformats.org/officeDocument/2006/relationships/table" Target="../tables/table2.xml"/><Relationship Id="rId5" Type="http://schemas.openxmlformats.org/officeDocument/2006/relationships/hyperlink" Target="\" TargetMode="External"/><Relationship Id="rId15" Type="http://schemas.openxmlformats.org/officeDocument/2006/relationships/hyperlink" Target="\" TargetMode="External"/><Relationship Id="rId23" Type="http://schemas.openxmlformats.org/officeDocument/2006/relationships/table" Target="../tables/table1.xml"/><Relationship Id="rId10" Type="http://schemas.openxmlformats.org/officeDocument/2006/relationships/hyperlink" Target="\" TargetMode="External"/><Relationship Id="rId19" Type="http://schemas.openxmlformats.org/officeDocument/2006/relationships/hyperlink" Target="\" TargetMode="External"/><Relationship Id="rId4" Type="http://schemas.openxmlformats.org/officeDocument/2006/relationships/hyperlink" Target="\" TargetMode="External"/><Relationship Id="rId9" Type="http://schemas.openxmlformats.org/officeDocument/2006/relationships/hyperlink" Target="\" TargetMode="External"/><Relationship Id="rId14" Type="http://schemas.openxmlformats.org/officeDocument/2006/relationships/hyperlink" Target="\" TargetMode="External"/><Relationship Id="rId22" Type="http://schemas.openxmlformats.org/officeDocument/2006/relationships/hyperlink" Target="\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8561D-602F-4B01-A5D2-2AD1C1B92F31}">
  <dimension ref="A1:N30"/>
  <sheetViews>
    <sheetView workbookViewId="0">
      <selection activeCell="F34" sqref="F34"/>
    </sheetView>
  </sheetViews>
  <sheetFormatPr defaultRowHeight="14.4" x14ac:dyDescent="0.3"/>
  <cols>
    <col min="1" max="1" width="20" customWidth="1"/>
    <col min="3" max="3" width="18.109375" customWidth="1"/>
    <col min="4" max="4" width="17.77734375" customWidth="1"/>
    <col min="5" max="5" width="27.44140625" customWidth="1"/>
    <col min="6" max="6" width="11.109375" customWidth="1"/>
    <col min="7" max="7" width="28.5546875" customWidth="1"/>
    <col min="8" max="8" width="11.5546875" customWidth="1"/>
    <col min="9" max="9" width="56.109375" bestFit="1" customWidth="1"/>
  </cols>
  <sheetData>
    <row r="1" spans="1:11" x14ac:dyDescent="0.3">
      <c r="A1" s="1" t="s">
        <v>13</v>
      </c>
      <c r="B1" s="2" t="s">
        <v>26</v>
      </c>
      <c r="C1" s="2" t="s">
        <v>28</v>
      </c>
      <c r="D1" s="2" t="s">
        <v>26</v>
      </c>
      <c r="E1" s="12" t="s">
        <v>11</v>
      </c>
      <c r="F1" s="2" t="s">
        <v>26</v>
      </c>
      <c r="G1" s="12" t="s">
        <v>14</v>
      </c>
      <c r="H1" s="2" t="s">
        <v>27</v>
      </c>
      <c r="I1" s="12" t="s">
        <v>29</v>
      </c>
      <c r="J1" s="18" t="s">
        <v>24</v>
      </c>
      <c r="K1" s="12" t="s">
        <v>25</v>
      </c>
    </row>
    <row r="2" spans="1:11" x14ac:dyDescent="0.3">
      <c r="A2" s="8">
        <v>429.41239999999999</v>
      </c>
      <c r="B2" s="2" t="s">
        <v>26</v>
      </c>
      <c r="C2" s="9">
        <f>2879</f>
        <v>2879</v>
      </c>
      <c r="D2" s="2" t="s">
        <v>26</v>
      </c>
      <c r="E2" s="14">
        <v>0.71</v>
      </c>
      <c r="F2" s="2" t="s">
        <v>26</v>
      </c>
      <c r="G2" s="13">
        <v>4.3710000000000004</v>
      </c>
      <c r="H2" s="2" t="s">
        <v>26</v>
      </c>
      <c r="I2">
        <f>LN((C2*10^(3)*A2*10^(-9))/(E2*10^(8)))</f>
        <v>-17.866084939826461</v>
      </c>
      <c r="J2" s="19" t="s">
        <v>24</v>
      </c>
      <c r="K2" t="s">
        <v>25</v>
      </c>
    </row>
    <row r="3" spans="1:11" x14ac:dyDescent="0.3">
      <c r="A3" s="10">
        <v>429.92340000000002</v>
      </c>
      <c r="B3" s="2" t="s">
        <v>26</v>
      </c>
      <c r="C3" s="11">
        <f>4127.583333</f>
        <v>4127.5833329999996</v>
      </c>
      <c r="D3" s="2" t="s">
        <v>26</v>
      </c>
      <c r="E3" s="14">
        <v>5.2</v>
      </c>
      <c r="F3" s="2" t="s">
        <v>26</v>
      </c>
      <c r="G3" s="13">
        <v>5.3079999999999998</v>
      </c>
      <c r="H3" s="2" t="s">
        <v>26</v>
      </c>
      <c r="I3">
        <f t="shared" ref="I3:I22" si="0">LN((C3*10^(3)*A3*10^(-9))/(E3*10^(8)))</f>
        <v>-19.495795508926346</v>
      </c>
      <c r="J3" s="18" t="s">
        <v>24</v>
      </c>
      <c r="K3" s="12" t="s">
        <v>25</v>
      </c>
    </row>
    <row r="4" spans="1:11" x14ac:dyDescent="0.3">
      <c r="A4" s="8">
        <v>430.79020000000003</v>
      </c>
      <c r="B4" s="2" t="s">
        <v>26</v>
      </c>
      <c r="C4" s="9">
        <f>9035.333333</f>
        <v>9035.3333330000005</v>
      </c>
      <c r="D4" s="2" t="s">
        <v>26</v>
      </c>
      <c r="E4" s="14">
        <v>5.9</v>
      </c>
      <c r="F4" s="2" t="s">
        <v>26</v>
      </c>
      <c r="G4" s="13">
        <v>4.4340000000000002</v>
      </c>
      <c r="H4" s="2" t="s">
        <v>26</v>
      </c>
      <c r="I4">
        <f t="shared" si="0"/>
        <v>-18.836624360308985</v>
      </c>
      <c r="J4" s="19" t="s">
        <v>24</v>
      </c>
      <c r="K4" t="s">
        <v>25</v>
      </c>
    </row>
    <row r="5" spans="1:11" x14ac:dyDescent="0.3">
      <c r="A5" s="10">
        <v>431.50839999999999</v>
      </c>
      <c r="B5" s="2" t="s">
        <v>26</v>
      </c>
      <c r="C5" s="11">
        <f>1860.727273</f>
        <v>1860.727273</v>
      </c>
      <c r="D5" s="2" t="s">
        <v>26</v>
      </c>
      <c r="E5" s="14">
        <v>1.5</v>
      </c>
      <c r="F5" s="2" t="s">
        <v>26</v>
      </c>
      <c r="G5" s="13">
        <v>5.07</v>
      </c>
      <c r="H5" s="2" t="s">
        <v>26</v>
      </c>
      <c r="I5">
        <f t="shared" si="0"/>
        <v>-19.045646735441952</v>
      </c>
      <c r="J5" s="18" t="s">
        <v>24</v>
      </c>
      <c r="K5" s="12" t="s">
        <v>25</v>
      </c>
    </row>
    <row r="6" spans="1:11" x14ac:dyDescent="0.3">
      <c r="A6" s="8">
        <v>432.57619999999997</v>
      </c>
      <c r="B6" s="2" t="s">
        <v>26</v>
      </c>
      <c r="C6" s="9">
        <f>9659.136364</f>
        <v>9659.136364</v>
      </c>
      <c r="D6" s="2" t="s">
        <v>26</v>
      </c>
      <c r="E6" s="14">
        <v>6.1</v>
      </c>
      <c r="F6" s="2" t="s">
        <v>26</v>
      </c>
      <c r="G6" s="13">
        <v>4.4729999999999999</v>
      </c>
      <c r="H6" s="2" t="s">
        <v>26</v>
      </c>
      <c r="I6">
        <f t="shared" si="0"/>
        <v>-18.799062057374403</v>
      </c>
      <c r="J6" s="19" t="s">
        <v>24</v>
      </c>
      <c r="K6" t="s">
        <v>25</v>
      </c>
    </row>
    <row r="7" spans="1:11" x14ac:dyDescent="0.3">
      <c r="A7" s="10">
        <v>433.70460000000003</v>
      </c>
      <c r="B7" s="2" t="s">
        <v>26</v>
      </c>
      <c r="C7" s="11">
        <f>1259.769231</f>
        <v>1259.769231</v>
      </c>
      <c r="D7" s="2" t="s">
        <v>26</v>
      </c>
      <c r="E7" s="14">
        <v>0.23</v>
      </c>
      <c r="F7" s="2" t="s">
        <v>26</v>
      </c>
      <c r="G7" s="13">
        <v>4.415</v>
      </c>
      <c r="H7" s="2" t="s">
        <v>26</v>
      </c>
      <c r="I7">
        <f t="shared" si="0"/>
        <v>-17.555467841491151</v>
      </c>
      <c r="J7" s="18" t="s">
        <v>24</v>
      </c>
      <c r="K7" s="12" t="s">
        <v>25</v>
      </c>
    </row>
    <row r="8" spans="1:11" x14ac:dyDescent="0.3">
      <c r="A8" s="8">
        <v>435.27339999999998</v>
      </c>
      <c r="B8" s="2" t="s">
        <v>26</v>
      </c>
      <c r="C8" s="9">
        <f>1187.818182</f>
        <v>1187.818182</v>
      </c>
      <c r="D8" s="2" t="s">
        <v>26</v>
      </c>
      <c r="E8" s="14">
        <v>1</v>
      </c>
      <c r="F8" s="2" t="s">
        <v>26</v>
      </c>
      <c r="G8" s="13">
        <v>5.07</v>
      </c>
      <c r="H8" s="2" t="s">
        <v>26</v>
      </c>
      <c r="I8">
        <f t="shared" si="0"/>
        <v>-19.080343519752454</v>
      </c>
      <c r="J8" s="19" t="s">
        <v>24</v>
      </c>
      <c r="K8" t="s">
        <v>25</v>
      </c>
    </row>
    <row r="9" spans="1:11" x14ac:dyDescent="0.3">
      <c r="A9" s="10">
        <v>436.97710000000001</v>
      </c>
      <c r="B9" s="2" t="s">
        <v>26</v>
      </c>
      <c r="C9" s="11">
        <f>758</f>
        <v>758</v>
      </c>
      <c r="D9" s="2" t="s">
        <v>26</v>
      </c>
      <c r="E9" s="14">
        <v>2.2000000000000002</v>
      </c>
      <c r="F9" s="2" t="s">
        <v>26</v>
      </c>
      <c r="G9" s="13">
        <v>5.8819999999999997</v>
      </c>
      <c r="H9" s="2" t="s">
        <v>26</v>
      </c>
      <c r="I9">
        <f t="shared" si="0"/>
        <v>-20.314084485662015</v>
      </c>
      <c r="J9" s="18" t="s">
        <v>24</v>
      </c>
      <c r="K9" s="12" t="s">
        <v>25</v>
      </c>
    </row>
    <row r="10" spans="1:11" x14ac:dyDescent="0.3">
      <c r="A10" s="8">
        <v>437.59300000000002</v>
      </c>
      <c r="B10" s="2" t="s">
        <v>26</v>
      </c>
      <c r="C10" s="9">
        <f>921.5</f>
        <v>921.5</v>
      </c>
      <c r="D10" s="2" t="s">
        <v>26</v>
      </c>
      <c r="E10" s="14">
        <v>9.2999999999999992E-3</v>
      </c>
      <c r="F10" s="2" t="s">
        <v>26</v>
      </c>
      <c r="G10" s="13">
        <v>2.8319999999999999</v>
      </c>
      <c r="H10" s="2" t="s">
        <v>26</v>
      </c>
      <c r="I10">
        <f t="shared" si="0"/>
        <v>-14.6511583913477</v>
      </c>
      <c r="J10" s="19" t="s">
        <v>24</v>
      </c>
      <c r="K10" t="s">
        <v>25</v>
      </c>
    </row>
    <row r="11" spans="1:11" x14ac:dyDescent="0.3">
      <c r="A11" s="10">
        <v>438.3544</v>
      </c>
      <c r="B11" s="2" t="s">
        <v>26</v>
      </c>
      <c r="C11" s="11">
        <f>12022</f>
        <v>12022</v>
      </c>
      <c r="D11" s="2" t="s">
        <v>26</v>
      </c>
      <c r="E11" s="14">
        <v>7.7</v>
      </c>
      <c r="F11" s="2" t="s">
        <v>26</v>
      </c>
      <c r="G11" s="13">
        <v>4.3120000000000003</v>
      </c>
      <c r="H11" s="2" t="s">
        <v>26</v>
      </c>
      <c r="I11">
        <f t="shared" si="0"/>
        <v>-18.799890331551797</v>
      </c>
      <c r="J11" s="18" t="s">
        <v>24</v>
      </c>
      <c r="K11" s="12" t="s">
        <v>25</v>
      </c>
    </row>
    <row r="12" spans="1:11" x14ac:dyDescent="0.3">
      <c r="A12" s="8">
        <v>440.47500000000002</v>
      </c>
      <c r="B12" s="2" t="s">
        <v>26</v>
      </c>
      <c r="C12" s="9">
        <f>8130.913043</f>
        <v>8130.9130429999996</v>
      </c>
      <c r="D12" s="2" t="s">
        <v>26</v>
      </c>
      <c r="E12" s="14">
        <v>4.4000000000000004</v>
      </c>
      <c r="F12" s="2" t="s">
        <v>26</v>
      </c>
      <c r="G12" s="13">
        <v>4.3710000000000004</v>
      </c>
      <c r="H12" s="2" t="s">
        <v>26</v>
      </c>
      <c r="I12">
        <f t="shared" si="0"/>
        <v>-18.626513651116031</v>
      </c>
      <c r="J12" s="19" t="s">
        <v>24</v>
      </c>
      <c r="K12" t="s">
        <v>25</v>
      </c>
    </row>
    <row r="13" spans="1:11" x14ac:dyDescent="0.3">
      <c r="A13" s="10">
        <v>441.51220000000001</v>
      </c>
      <c r="B13" s="2" t="s">
        <v>26</v>
      </c>
      <c r="C13" s="11">
        <f>5452</f>
        <v>5452</v>
      </c>
      <c r="D13" s="2" t="s">
        <v>26</v>
      </c>
      <c r="E13" s="14">
        <v>2.8</v>
      </c>
      <c r="F13" s="2" t="s">
        <v>26</v>
      </c>
      <c r="G13" s="13">
        <v>4.415</v>
      </c>
      <c r="H13" s="2" t="s">
        <v>26</v>
      </c>
      <c r="I13">
        <f t="shared" si="0"/>
        <v>-18.571867273550062</v>
      </c>
      <c r="J13" s="18" t="s">
        <v>24</v>
      </c>
      <c r="K13" s="12" t="s">
        <v>25</v>
      </c>
    </row>
    <row r="14" spans="1:11" x14ac:dyDescent="0.3">
      <c r="A14" s="8">
        <v>442.72989999999999</v>
      </c>
      <c r="B14" s="2" t="s">
        <v>26</v>
      </c>
      <c r="C14" s="9">
        <f>857.8571429</f>
        <v>857.85714289999999</v>
      </c>
      <c r="D14" s="2" t="s">
        <v>26</v>
      </c>
      <c r="E14" s="14">
        <v>9.9000000000000008E-3</v>
      </c>
      <c r="F14" s="2" t="s">
        <v>26</v>
      </c>
      <c r="G14" s="13">
        <v>2.851</v>
      </c>
      <c r="H14" s="2" t="s">
        <v>26</v>
      </c>
      <c r="I14">
        <f t="shared" si="0"/>
        <v>-14.77357331701408</v>
      </c>
      <c r="J14" s="19" t="s">
        <v>24</v>
      </c>
      <c r="K14" t="s">
        <v>25</v>
      </c>
    </row>
    <row r="15" spans="1:11" x14ac:dyDescent="0.3">
      <c r="A15" s="10">
        <v>444.23379999999997</v>
      </c>
      <c r="B15" s="2" t="s">
        <v>26</v>
      </c>
      <c r="C15" s="11">
        <f>1773</f>
        <v>1773</v>
      </c>
      <c r="D15" s="2" t="s">
        <v>26</v>
      </c>
      <c r="E15" s="14">
        <v>1.1000000000000001</v>
      </c>
      <c r="F15" s="2" t="s">
        <v>26</v>
      </c>
      <c r="G15" s="13">
        <v>4.9880000000000004</v>
      </c>
      <c r="H15" s="2" t="s">
        <v>26</v>
      </c>
      <c r="I15">
        <f t="shared" si="0"/>
        <v>-18.75472217523075</v>
      </c>
      <c r="J15" s="18" t="s">
        <v>24</v>
      </c>
      <c r="K15" s="12" t="s">
        <v>25</v>
      </c>
    </row>
    <row r="16" spans="1:11" x14ac:dyDescent="0.3">
      <c r="A16" s="8">
        <v>444.77179999999998</v>
      </c>
      <c r="B16" s="2" t="s">
        <v>26</v>
      </c>
      <c r="C16" s="9">
        <f>1127.333333</f>
        <v>1127.333333</v>
      </c>
      <c r="D16" s="2" t="s">
        <v>26</v>
      </c>
      <c r="E16" s="14">
        <v>1.9</v>
      </c>
      <c r="F16" s="2" t="s">
        <v>26</v>
      </c>
      <c r="G16" s="13">
        <v>5.6470000000000002</v>
      </c>
      <c r="H16" s="2" t="s">
        <v>26</v>
      </c>
      <c r="I16">
        <f t="shared" si="0"/>
        <v>-19.752873605948324</v>
      </c>
      <c r="J16" s="19" t="s">
        <v>24</v>
      </c>
      <c r="K16" t="s">
        <v>25</v>
      </c>
    </row>
    <row r="17" spans="1:14" x14ac:dyDescent="0.3">
      <c r="A17" s="10">
        <v>445.91180000000003</v>
      </c>
      <c r="B17" s="2" t="s">
        <v>26</v>
      </c>
      <c r="C17" s="11">
        <f>1270.615385</f>
        <v>1270.6153850000001</v>
      </c>
      <c r="D17" s="2" t="s">
        <v>26</v>
      </c>
      <c r="E17" s="14">
        <v>1.1000000000000001</v>
      </c>
      <c r="F17" s="2" t="s">
        <v>26</v>
      </c>
      <c r="G17" s="13">
        <v>5.0090000000000003</v>
      </c>
      <c r="H17" s="2" t="s">
        <v>26</v>
      </c>
      <c r="I17">
        <f t="shared" si="0"/>
        <v>-19.084123689893271</v>
      </c>
      <c r="J17" s="18" t="s">
        <v>24</v>
      </c>
      <c r="K17" s="12" t="s">
        <v>25</v>
      </c>
    </row>
    <row r="18" spans="1:14" x14ac:dyDescent="0.3">
      <c r="A18" s="8">
        <v>446.6551</v>
      </c>
      <c r="B18" s="2" t="s">
        <v>26</v>
      </c>
      <c r="C18" s="9">
        <f>1716.333333</f>
        <v>1716.333333</v>
      </c>
      <c r="D18" s="2" t="s">
        <v>26</v>
      </c>
      <c r="E18" s="14">
        <v>1</v>
      </c>
      <c r="F18" s="2" t="s">
        <v>26</v>
      </c>
      <c r="G18" s="13">
        <v>4.9550000000000001</v>
      </c>
      <c r="H18" s="2" t="s">
        <v>26</v>
      </c>
      <c r="I18">
        <f t="shared" si="0"/>
        <v>-18.686459082313657</v>
      </c>
      <c r="J18" s="19" t="s">
        <v>24</v>
      </c>
      <c r="K18" t="s">
        <v>25</v>
      </c>
    </row>
    <row r="19" spans="1:14" x14ac:dyDescent="0.3">
      <c r="A19" s="10">
        <v>447.60169999999999</v>
      </c>
      <c r="B19" s="2" t="s">
        <v>26</v>
      </c>
      <c r="C19" s="11">
        <f>1872.636364</f>
        <v>1872.636364</v>
      </c>
      <c r="D19" s="2" t="s">
        <v>26</v>
      </c>
      <c r="E19" s="14">
        <v>5.1999999999999998E-3</v>
      </c>
      <c r="F19" s="2" t="s">
        <v>26</v>
      </c>
      <c r="G19" s="13">
        <v>2.8650000000000002</v>
      </c>
      <c r="H19" s="2" t="s">
        <v>26</v>
      </c>
      <c r="I19">
        <f t="shared" si="0"/>
        <v>-13.338088336751484</v>
      </c>
      <c r="J19" s="18" t="s">
        <v>24</v>
      </c>
      <c r="K19" s="12" t="s">
        <v>25</v>
      </c>
    </row>
    <row r="20" spans="1:14" x14ac:dyDescent="0.3">
      <c r="A20" s="8">
        <v>448.21690000000001</v>
      </c>
      <c r="B20" s="2" t="s">
        <v>26</v>
      </c>
      <c r="C20" s="9">
        <f>1331.8</f>
        <v>1331.8</v>
      </c>
      <c r="D20" s="2" t="s">
        <v>26</v>
      </c>
      <c r="E20" s="14">
        <v>5.3</v>
      </c>
      <c r="F20" s="2" t="s">
        <v>26</v>
      </c>
      <c r="G20" s="13">
        <v>5.6059999999999999</v>
      </c>
      <c r="H20" s="2" t="s">
        <v>26</v>
      </c>
      <c r="I20">
        <f t="shared" si="0"/>
        <v>-20.604334165761156</v>
      </c>
      <c r="J20" s="19" t="s">
        <v>24</v>
      </c>
      <c r="K20" t="s">
        <v>25</v>
      </c>
    </row>
    <row r="21" spans="1:14" x14ac:dyDescent="0.3">
      <c r="A21" s="10">
        <v>449.45749999999998</v>
      </c>
      <c r="B21" s="2" t="s">
        <v>26</v>
      </c>
      <c r="C21" s="11">
        <f>1711.785714</f>
        <v>1711.7857140000001</v>
      </c>
      <c r="D21" s="2" t="s">
        <v>26</v>
      </c>
      <c r="E21" s="14">
        <v>5.4</v>
      </c>
      <c r="F21" s="2" t="s">
        <v>26</v>
      </c>
      <c r="G21" s="13">
        <v>5.6139999999999999</v>
      </c>
      <c r="H21" s="2" t="s">
        <v>26</v>
      </c>
      <c r="I21">
        <f t="shared" si="0"/>
        <v>-20.369256573733161</v>
      </c>
      <c r="J21" s="18" t="s">
        <v>24</v>
      </c>
      <c r="K21" s="12" t="s">
        <v>25</v>
      </c>
    </row>
    <row r="22" spans="1:14" x14ac:dyDescent="0.3">
      <c r="A22" s="8">
        <v>452.86130000000003</v>
      </c>
      <c r="B22" s="2" t="s">
        <v>26</v>
      </c>
      <c r="C22" s="9">
        <f>3292.5</f>
        <v>3292.5</v>
      </c>
      <c r="D22" s="2" t="s">
        <v>26</v>
      </c>
      <c r="E22" s="14">
        <v>5.3E-3</v>
      </c>
      <c r="F22" s="2" t="s">
        <v>26</v>
      </c>
      <c r="G22" s="13">
        <v>2.875</v>
      </c>
      <c r="H22" s="2" t="s">
        <v>26</v>
      </c>
      <c r="I22">
        <f t="shared" si="0"/>
        <v>-12.781154512290538</v>
      </c>
      <c r="J22" s="19" t="s">
        <v>24</v>
      </c>
      <c r="K22" t="s">
        <v>25</v>
      </c>
    </row>
    <row r="25" spans="1:14" x14ac:dyDescent="0.3">
      <c r="A25" t="s">
        <v>32</v>
      </c>
      <c r="B25" t="s">
        <v>26</v>
      </c>
      <c r="C25" s="1" t="s">
        <v>31</v>
      </c>
      <c r="D25" t="s">
        <v>27</v>
      </c>
      <c r="E25" s="2" t="s">
        <v>33</v>
      </c>
      <c r="F25" t="s">
        <v>40</v>
      </c>
      <c r="G25" t="s">
        <v>34</v>
      </c>
      <c r="H25" t="s">
        <v>41</v>
      </c>
      <c r="I25" t="s">
        <v>35</v>
      </c>
      <c r="J25" t="s">
        <v>42</v>
      </c>
      <c r="K25" t="s">
        <v>36</v>
      </c>
      <c r="L25" t="s">
        <v>43</v>
      </c>
      <c r="M25" t="s">
        <v>37</v>
      </c>
      <c r="N25" t="s">
        <v>44</v>
      </c>
    </row>
    <row r="26" spans="1:14" x14ac:dyDescent="0.3">
      <c r="A26" s="16">
        <v>1</v>
      </c>
      <c r="B26" t="s">
        <v>26</v>
      </c>
      <c r="C26" s="20">
        <v>307.83999999999997</v>
      </c>
      <c r="D26" t="s">
        <v>26</v>
      </c>
      <c r="E26" s="22">
        <v>38475.410000000003</v>
      </c>
      <c r="F26" t="s">
        <v>26</v>
      </c>
      <c r="G26" s="13">
        <v>0.56299999999999994</v>
      </c>
      <c r="H26" t="s">
        <v>26</v>
      </c>
      <c r="I26">
        <v>3248398.54</v>
      </c>
      <c r="J26" t="s">
        <v>26</v>
      </c>
      <c r="K26">
        <v>-48.842440500000002</v>
      </c>
      <c r="L26" t="s">
        <v>26</v>
      </c>
      <c r="M26">
        <v>2</v>
      </c>
      <c r="N26" t="s">
        <v>44</v>
      </c>
    </row>
    <row r="27" spans="1:14" x14ac:dyDescent="0.3">
      <c r="A27" s="16">
        <v>2</v>
      </c>
      <c r="B27" t="s">
        <v>26</v>
      </c>
      <c r="C27" s="5">
        <v>308</v>
      </c>
      <c r="D27" t="s">
        <v>26</v>
      </c>
      <c r="E27" s="4">
        <v>41843.17</v>
      </c>
      <c r="F27" t="s">
        <v>26</v>
      </c>
      <c r="G27" s="13">
        <v>1.0649999999999999</v>
      </c>
      <c r="H27" t="s">
        <v>26</v>
      </c>
      <c r="I27">
        <v>3246804.9</v>
      </c>
      <c r="J27" t="s">
        <v>26</v>
      </c>
      <c r="K27">
        <v>-49.394018869999996</v>
      </c>
      <c r="L27" t="s">
        <v>26</v>
      </c>
      <c r="M27">
        <v>6</v>
      </c>
      <c r="N27" t="s">
        <v>44</v>
      </c>
    </row>
    <row r="28" spans="1:14" x14ac:dyDescent="0.3">
      <c r="A28" s="16">
        <v>4</v>
      </c>
      <c r="B28" t="s">
        <v>26</v>
      </c>
      <c r="C28" s="5">
        <v>308.33</v>
      </c>
      <c r="D28" t="s">
        <v>26</v>
      </c>
      <c r="E28" s="4">
        <v>23349.72</v>
      </c>
      <c r="F28" t="s">
        <v>26</v>
      </c>
      <c r="G28" s="13">
        <v>2.1</v>
      </c>
      <c r="H28" t="s">
        <v>26</v>
      </c>
      <c r="I28">
        <v>3243301.4470000002</v>
      </c>
      <c r="J28" t="s">
        <v>26</v>
      </c>
      <c r="K28">
        <v>-50.652006550000003</v>
      </c>
      <c r="L28" t="s">
        <v>26</v>
      </c>
      <c r="M28">
        <v>20</v>
      </c>
      <c r="N28" t="s">
        <v>44</v>
      </c>
    </row>
    <row r="29" spans="1:14" x14ac:dyDescent="0.3">
      <c r="A29" s="16">
        <v>5</v>
      </c>
      <c r="B29" t="s">
        <v>26</v>
      </c>
      <c r="C29" s="5">
        <v>308.52</v>
      </c>
      <c r="D29" t="s">
        <v>26</v>
      </c>
      <c r="E29" s="4">
        <v>13292.87</v>
      </c>
      <c r="F29" t="s">
        <v>26</v>
      </c>
      <c r="G29" s="13">
        <v>2.64</v>
      </c>
      <c r="H29" t="s">
        <v>26</v>
      </c>
      <c r="I29">
        <v>3241285.1570000001</v>
      </c>
      <c r="J29" t="s">
        <v>26</v>
      </c>
      <c r="K29">
        <v>-51.441717939999997</v>
      </c>
      <c r="L29" t="s">
        <v>26</v>
      </c>
      <c r="M29">
        <v>30</v>
      </c>
      <c r="N29" t="s">
        <v>44</v>
      </c>
    </row>
    <row r="30" spans="1:14" x14ac:dyDescent="0.3">
      <c r="A30" s="16">
        <v>6</v>
      </c>
      <c r="B30" t="s">
        <v>26</v>
      </c>
      <c r="C30" s="21">
        <v>308.73</v>
      </c>
      <c r="D30" t="s">
        <v>26</v>
      </c>
      <c r="E30" s="23">
        <v>6350.5</v>
      </c>
      <c r="F30" t="s">
        <v>26</v>
      </c>
      <c r="G30" s="13">
        <v>3.16</v>
      </c>
      <c r="H30" t="s">
        <v>26</v>
      </c>
      <c r="I30">
        <v>3239036.3480000002</v>
      </c>
      <c r="J30" t="s">
        <v>26</v>
      </c>
      <c r="K30">
        <v>-52.357428880000001</v>
      </c>
      <c r="L30" t="s">
        <v>26</v>
      </c>
      <c r="M30">
        <v>42</v>
      </c>
      <c r="N30" t="s">
        <v>44</v>
      </c>
    </row>
  </sheetData>
  <hyperlinks>
    <hyperlink ref="J1" r:id="rId1" xr:uid="{6CEE43A5-042B-403B-B033-981BDA67BCC0}"/>
    <hyperlink ref="J2" r:id="rId2" xr:uid="{E9274A27-22EB-4F30-8CDC-E42C6BCD8DC5}"/>
    <hyperlink ref="J3" r:id="rId3" xr:uid="{271CACA9-D2D0-41BB-B64D-A5F8CCD0457E}"/>
    <hyperlink ref="J5" r:id="rId4" xr:uid="{CBE0794F-DE68-4559-B85C-37E91087C251}"/>
    <hyperlink ref="J7" r:id="rId5" xr:uid="{E648DF76-40F9-42DB-928E-F4EA6A1AA76F}"/>
    <hyperlink ref="J9" r:id="rId6" xr:uid="{4C79D8F3-8B5D-4FB1-8FA1-C4F618FD5D33}"/>
    <hyperlink ref="J11" r:id="rId7" xr:uid="{6ECC935B-57AE-4E60-B2E5-E1D30287B5C3}"/>
    <hyperlink ref="J13" r:id="rId8" xr:uid="{7E312B47-287B-440E-8560-244E64A038DB}"/>
    <hyperlink ref="J15" r:id="rId9" xr:uid="{9521C5BB-DFDE-48CD-9178-E07133CD87C2}"/>
    <hyperlink ref="J17" r:id="rId10" xr:uid="{3FCDB433-ECF9-4598-8ACF-1ECF63801170}"/>
    <hyperlink ref="J19" r:id="rId11" xr:uid="{0F807F5D-99DF-4BC2-8D59-C778D6B57AD3}"/>
    <hyperlink ref="J21" r:id="rId12" xr:uid="{B6FC726A-C939-4273-9DE6-E6F5699314C7}"/>
    <hyperlink ref="J4" r:id="rId13" xr:uid="{76A6EF13-92A2-4280-96FA-835CB7EBAA1E}"/>
    <hyperlink ref="J6" r:id="rId14" xr:uid="{4AE95AF5-59CC-435E-8109-6B7755F0214B}"/>
    <hyperlink ref="J8" r:id="rId15" xr:uid="{293835FF-444D-400C-AF05-FA1F9E2DC399}"/>
    <hyperlink ref="J10" r:id="rId16" xr:uid="{0CE9C0F9-0924-4138-999C-84A75DB48A44}"/>
    <hyperlink ref="J12" r:id="rId17" xr:uid="{8A54E9EF-84C5-48A7-A146-CDAD9711C590}"/>
    <hyperlink ref="J14" r:id="rId18" xr:uid="{0E0589DA-DC1F-480E-8F42-03A0BCE32B79}"/>
    <hyperlink ref="J16" r:id="rId19" xr:uid="{E318CB59-ADC7-47DB-906C-52EAB63A9F78}"/>
    <hyperlink ref="J18" r:id="rId20" xr:uid="{F817E8C4-FE00-4D24-B84E-1DF367D34EBE}"/>
    <hyperlink ref="J20" r:id="rId21" xr:uid="{5D486D33-832D-4893-8585-FD14C1893B68}"/>
    <hyperlink ref="J22" r:id="rId22" xr:uid="{179D19D3-3411-48BE-AF95-6E3691B9A3F4}"/>
  </hyperlinks>
  <pageMargins left="0.7" right="0.7" top="0.78740157499999996" bottom="0.78740157499999996" header="0.3" footer="0.3"/>
  <tableParts count="2">
    <tablePart r:id="rId23"/>
    <tablePart r:id="rId2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B5A7-27B5-41F2-AFF2-8624918743BE}">
  <dimension ref="A1:K46"/>
  <sheetViews>
    <sheetView topLeftCell="D16" workbookViewId="0">
      <selection activeCell="H25" sqref="H25"/>
    </sheetView>
  </sheetViews>
  <sheetFormatPr defaultRowHeight="14.4" x14ac:dyDescent="0.3"/>
  <cols>
    <col min="1" max="1" width="19.5546875" customWidth="1"/>
    <col min="2" max="2" width="18.44140625" customWidth="1"/>
    <col min="3" max="3" width="24.21875" customWidth="1"/>
    <col min="4" max="4" width="25" customWidth="1"/>
    <col min="5" max="5" width="21.6640625" customWidth="1"/>
    <col min="6" max="6" width="16.6640625" bestFit="1" customWidth="1"/>
    <col min="7" max="7" width="17.44140625" bestFit="1" customWidth="1"/>
    <col min="8" max="8" width="10.77734375" bestFit="1" customWidth="1"/>
    <col min="10" max="10" width="14.77734375" customWidth="1"/>
  </cols>
  <sheetData>
    <row r="1" spans="1:8" x14ac:dyDescent="0.3">
      <c r="A1" t="s">
        <v>8</v>
      </c>
      <c r="B1" t="s">
        <v>1</v>
      </c>
      <c r="C1" t="s">
        <v>2</v>
      </c>
      <c r="D1" t="s">
        <v>9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>
        <v>429.41239999999999</v>
      </c>
      <c r="B2">
        <v>428.90660000000003</v>
      </c>
      <c r="C2">
        <v>429.63720000000001</v>
      </c>
      <c r="D2" s="3">
        <v>2879</v>
      </c>
      <c r="E2" s="3">
        <v>215.1738738</v>
      </c>
      <c r="F2" s="3">
        <v>634.94759999999997</v>
      </c>
      <c r="G2" s="3">
        <v>111.5435322</v>
      </c>
      <c r="H2" t="s">
        <v>10</v>
      </c>
    </row>
    <row r="3" spans="1:8" x14ac:dyDescent="0.3">
      <c r="A3">
        <v>429.92340000000002</v>
      </c>
      <c r="B3">
        <v>429.63720000000001</v>
      </c>
      <c r="C3">
        <v>430.3116</v>
      </c>
      <c r="D3" s="3">
        <v>4127.5833329999996</v>
      </c>
      <c r="E3" s="3">
        <v>235.5905405</v>
      </c>
      <c r="F3" s="3">
        <v>946.88570000000004</v>
      </c>
      <c r="G3" s="3">
        <v>148.14806050000001</v>
      </c>
      <c r="H3" t="s">
        <v>10</v>
      </c>
    </row>
    <row r="4" spans="1:8" x14ac:dyDescent="0.3">
      <c r="A4">
        <v>430.79020000000003</v>
      </c>
      <c r="B4">
        <v>430.3116</v>
      </c>
      <c r="C4">
        <v>431.15460000000002</v>
      </c>
      <c r="D4" s="3">
        <v>9035.3333330000005</v>
      </c>
      <c r="E4" s="3">
        <v>78.840540489999995</v>
      </c>
      <c r="F4" s="3">
        <v>2283.2936</v>
      </c>
      <c r="G4" s="3">
        <v>68.851075629999997</v>
      </c>
      <c r="H4" t="s">
        <v>10</v>
      </c>
    </row>
    <row r="5" spans="1:8" x14ac:dyDescent="0.3">
      <c r="A5">
        <v>431.50839999999999</v>
      </c>
      <c r="B5">
        <v>431.15460000000002</v>
      </c>
      <c r="C5">
        <v>431.77280000000002</v>
      </c>
      <c r="D5" s="3">
        <v>1860.727273</v>
      </c>
      <c r="E5" s="3">
        <v>16.446601099999999</v>
      </c>
      <c r="F5" s="3">
        <v>420.2636</v>
      </c>
      <c r="G5" s="3">
        <v>8.7622887970000001</v>
      </c>
      <c r="H5" t="s">
        <v>10</v>
      </c>
    </row>
    <row r="6" spans="1:8" x14ac:dyDescent="0.3">
      <c r="A6">
        <v>432.57619999999997</v>
      </c>
      <c r="B6">
        <v>431.99759999999998</v>
      </c>
      <c r="C6">
        <v>433.23390000000001</v>
      </c>
      <c r="D6" s="3">
        <v>9659.136364</v>
      </c>
      <c r="E6" s="3">
        <v>4.0375101859999996</v>
      </c>
      <c r="F6" s="3">
        <v>2385.6055500000002</v>
      </c>
      <c r="G6" s="3">
        <v>-1.6394897930000001</v>
      </c>
      <c r="H6" t="s">
        <v>10</v>
      </c>
    </row>
    <row r="7" spans="1:8" x14ac:dyDescent="0.3">
      <c r="A7">
        <v>433.70460000000003</v>
      </c>
      <c r="B7">
        <v>433.23390000000001</v>
      </c>
      <c r="C7">
        <v>433.96449999999999</v>
      </c>
      <c r="D7" s="3">
        <v>1259.769231</v>
      </c>
      <c r="E7" s="3">
        <v>-39.595356950000003</v>
      </c>
      <c r="F7" s="3">
        <v>331.63619999999997</v>
      </c>
      <c r="G7" s="3">
        <v>-29.462267789999999</v>
      </c>
      <c r="H7" t="s">
        <v>10</v>
      </c>
    </row>
    <row r="8" spans="1:8" x14ac:dyDescent="0.3">
      <c r="A8">
        <v>435.27339999999998</v>
      </c>
      <c r="B8">
        <v>434.80739999999997</v>
      </c>
      <c r="C8">
        <v>435.42559999999997</v>
      </c>
      <c r="D8" s="3">
        <v>1187.818182</v>
      </c>
      <c r="E8" s="3">
        <v>-0.64430799540000006</v>
      </c>
      <c r="F8" s="3">
        <v>287.46300000000002</v>
      </c>
      <c r="G8" s="3">
        <v>1.034788797</v>
      </c>
      <c r="H8" t="s">
        <v>10</v>
      </c>
    </row>
    <row r="9" spans="1:8" x14ac:dyDescent="0.3">
      <c r="A9">
        <v>436.97710000000001</v>
      </c>
      <c r="B9">
        <v>436.21230000000003</v>
      </c>
      <c r="C9">
        <v>437.05509999999998</v>
      </c>
      <c r="D9" s="3">
        <v>758</v>
      </c>
      <c r="E9" s="3">
        <v>-0.82612617720000003</v>
      </c>
      <c r="F9" s="3">
        <v>250.62139999999999</v>
      </c>
      <c r="G9" s="3">
        <v>-15.023859140000001</v>
      </c>
      <c r="H9" t="s">
        <v>10</v>
      </c>
    </row>
    <row r="10" spans="1:8" x14ac:dyDescent="0.3">
      <c r="A10">
        <v>437.59300000000002</v>
      </c>
      <c r="B10">
        <v>437.05509999999998</v>
      </c>
      <c r="C10">
        <v>437.7294</v>
      </c>
      <c r="D10" s="3">
        <v>921.5</v>
      </c>
      <c r="E10" s="3">
        <v>38.673873819999997</v>
      </c>
      <c r="F10" s="3">
        <v>220.9676</v>
      </c>
      <c r="G10" s="3">
        <v>26.077793119999999</v>
      </c>
      <c r="H10" t="s">
        <v>10</v>
      </c>
    </row>
    <row r="11" spans="1:8" x14ac:dyDescent="0.3">
      <c r="A11">
        <v>438.3544</v>
      </c>
      <c r="B11">
        <v>437.67320000000001</v>
      </c>
      <c r="C11">
        <v>438.4599</v>
      </c>
      <c r="D11" s="3">
        <v>12022</v>
      </c>
      <c r="E11" s="3">
        <v>278.17387380000002</v>
      </c>
      <c r="F11" s="3">
        <v>3050.0196500000002</v>
      </c>
      <c r="G11" s="3">
        <v>177.93098649999999</v>
      </c>
      <c r="H11" t="s">
        <v>10</v>
      </c>
    </row>
    <row r="12" spans="1:8" x14ac:dyDescent="0.3">
      <c r="A12">
        <v>440.47500000000002</v>
      </c>
      <c r="B12">
        <v>439.5274</v>
      </c>
      <c r="C12">
        <v>440.81959999999998</v>
      </c>
      <c r="D12" s="3">
        <v>8130.9130429999996</v>
      </c>
      <c r="E12" s="3">
        <v>-21.739169660000002</v>
      </c>
      <c r="F12" s="3">
        <v>2364.0687499999999</v>
      </c>
      <c r="G12" s="3">
        <v>-28.20372025</v>
      </c>
      <c r="H12" t="s">
        <v>10</v>
      </c>
    </row>
    <row r="13" spans="1:8" x14ac:dyDescent="0.3">
      <c r="A13">
        <v>441.51220000000001</v>
      </c>
      <c r="B13">
        <v>440.81959999999998</v>
      </c>
      <c r="C13">
        <v>441.71839999999997</v>
      </c>
      <c r="D13" s="3">
        <v>5452</v>
      </c>
      <c r="E13" s="3">
        <v>-29.826126179999999</v>
      </c>
      <c r="F13" s="3">
        <v>1299.83745</v>
      </c>
      <c r="G13" s="3">
        <v>-26.807722210000001</v>
      </c>
      <c r="H13" t="s">
        <v>10</v>
      </c>
    </row>
    <row r="14" spans="1:8" x14ac:dyDescent="0.3">
      <c r="A14">
        <v>442.72989999999999</v>
      </c>
      <c r="B14">
        <v>442.22399999999999</v>
      </c>
      <c r="C14">
        <v>442.61720000000003</v>
      </c>
      <c r="D14" s="3">
        <v>857.85714289999999</v>
      </c>
      <c r="E14" s="3">
        <v>313.316731</v>
      </c>
      <c r="F14" s="3">
        <v>138.30430000000001</v>
      </c>
      <c r="G14" s="3">
        <v>112.3269672</v>
      </c>
      <c r="H14" t="s">
        <v>10</v>
      </c>
    </row>
    <row r="15" spans="1:8" x14ac:dyDescent="0.3">
      <c r="A15">
        <v>444.23379999999997</v>
      </c>
      <c r="B15">
        <v>443.40359999999998</v>
      </c>
      <c r="C15">
        <v>444.24610000000001</v>
      </c>
      <c r="D15" s="3">
        <v>1773</v>
      </c>
      <c r="E15" s="3">
        <v>127.1738738</v>
      </c>
      <c r="F15" s="3">
        <v>459.17885000000001</v>
      </c>
      <c r="G15" s="3">
        <v>86.923988699999995</v>
      </c>
      <c r="H15" t="s">
        <v>10</v>
      </c>
    </row>
    <row r="16" spans="1:8" x14ac:dyDescent="0.3">
      <c r="A16">
        <v>444.77179999999998</v>
      </c>
      <c r="B16">
        <v>444.24610000000001</v>
      </c>
      <c r="C16">
        <v>444.75150000000002</v>
      </c>
      <c r="D16" s="3">
        <v>1127.333333</v>
      </c>
      <c r="E16" s="3">
        <v>109.8405405</v>
      </c>
      <c r="F16" s="3">
        <v>237.34989999999999</v>
      </c>
      <c r="G16" s="3">
        <v>51.38597583</v>
      </c>
      <c r="H16" t="s">
        <v>10</v>
      </c>
    </row>
    <row r="17" spans="1:11" x14ac:dyDescent="0.3">
      <c r="A17">
        <v>445.91180000000003</v>
      </c>
      <c r="B17">
        <v>445.31319999999999</v>
      </c>
      <c r="C17">
        <v>446.04320000000001</v>
      </c>
      <c r="D17" s="3">
        <v>1270.6153850000001</v>
      </c>
      <c r="E17" s="3">
        <v>217.5584892</v>
      </c>
      <c r="F17" s="3">
        <v>416.05900000000003</v>
      </c>
      <c r="G17" s="3">
        <v>158.9019279</v>
      </c>
      <c r="H17" t="s">
        <v>10</v>
      </c>
    </row>
    <row r="18" spans="1:11" x14ac:dyDescent="0.3">
      <c r="A18">
        <v>446.6551</v>
      </c>
      <c r="B18">
        <v>446.04320000000001</v>
      </c>
      <c r="C18">
        <v>446.88549999999998</v>
      </c>
      <c r="D18" s="3">
        <v>1716.333333</v>
      </c>
      <c r="E18" s="3">
        <v>161.8405405</v>
      </c>
      <c r="F18" s="3">
        <v>548.1748</v>
      </c>
      <c r="G18" s="3">
        <v>112.5935039</v>
      </c>
      <c r="H18" t="s">
        <v>10</v>
      </c>
    </row>
    <row r="19" spans="1:11" x14ac:dyDescent="0.3">
      <c r="A19">
        <v>447.60169999999999</v>
      </c>
      <c r="B19">
        <v>446.88549999999998</v>
      </c>
      <c r="C19">
        <v>447.50319999999999</v>
      </c>
      <c r="D19" s="3">
        <v>1872.636364</v>
      </c>
      <c r="E19" s="3">
        <v>143.53751020000001</v>
      </c>
      <c r="F19" s="3">
        <v>417.47525000000002</v>
      </c>
      <c r="G19" s="3">
        <v>83.805751860000001</v>
      </c>
      <c r="H19" t="s">
        <v>10</v>
      </c>
    </row>
    <row r="20" spans="1:11" x14ac:dyDescent="0.3">
      <c r="A20">
        <v>448.21690000000001</v>
      </c>
      <c r="B20">
        <v>447.50319999999999</v>
      </c>
      <c r="C20">
        <v>448.34530000000001</v>
      </c>
      <c r="D20" s="3">
        <v>1331.8</v>
      </c>
      <c r="E20" s="3">
        <v>201.37387380000001</v>
      </c>
      <c r="F20" s="3">
        <v>414.52834999999999</v>
      </c>
      <c r="G20" s="3">
        <v>165.19801910000001</v>
      </c>
      <c r="H20" t="s">
        <v>10</v>
      </c>
    </row>
    <row r="21" spans="1:11" x14ac:dyDescent="0.3">
      <c r="A21">
        <v>449.45749999999998</v>
      </c>
      <c r="B21">
        <v>448.79450000000003</v>
      </c>
      <c r="C21">
        <v>449.5804</v>
      </c>
      <c r="D21" s="3">
        <v>1711.7857140000001</v>
      </c>
      <c r="E21" s="3">
        <v>180.3881595</v>
      </c>
      <c r="F21" s="3">
        <v>391.18025</v>
      </c>
      <c r="G21" s="3">
        <v>120.7722974</v>
      </c>
      <c r="H21" t="s">
        <v>10</v>
      </c>
    </row>
    <row r="22" spans="1:11" x14ac:dyDescent="0.3">
      <c r="A22">
        <v>452.86130000000003</v>
      </c>
      <c r="B22">
        <v>451.43259999999998</v>
      </c>
      <c r="C22">
        <v>453.22829999999999</v>
      </c>
      <c r="D22" s="3">
        <v>3292.5</v>
      </c>
      <c r="E22" s="3">
        <v>76.673873819999997</v>
      </c>
      <c r="F22" s="3">
        <v>1228.9599499999999</v>
      </c>
      <c r="G22" s="3">
        <v>143.96822520000001</v>
      </c>
      <c r="H22" t="s">
        <v>10</v>
      </c>
    </row>
    <row r="24" spans="1:11" x14ac:dyDescent="0.3">
      <c r="A24" s="1" t="s">
        <v>13</v>
      </c>
      <c r="B24" s="2" t="s">
        <v>12</v>
      </c>
      <c r="C24" s="12" t="s">
        <v>11</v>
      </c>
      <c r="D24" s="12" t="s">
        <v>14</v>
      </c>
      <c r="E24" s="12" t="s">
        <v>15</v>
      </c>
      <c r="G24" t="s">
        <v>16</v>
      </c>
      <c r="H24" t="s">
        <v>17</v>
      </c>
      <c r="J24" t="s">
        <v>21</v>
      </c>
    </row>
    <row r="25" spans="1:11" x14ac:dyDescent="0.3">
      <c r="A25" s="8">
        <v>429.41239999999999</v>
      </c>
      <c r="B25" s="9">
        <f>2879</f>
        <v>2879</v>
      </c>
      <c r="C25" s="14">
        <v>0.71</v>
      </c>
      <c r="D25" s="13">
        <v>4.3710000000000004</v>
      </c>
      <c r="E25">
        <f>LN((B25*10^(3)*A25*10^(-9))/(C25*10^(8)))</f>
        <v>-17.866084939826461</v>
      </c>
      <c r="G25" t="s">
        <v>18</v>
      </c>
      <c r="H25">
        <f>-2.20932518091</f>
        <v>-2.2093251809100001</v>
      </c>
      <c r="J25" t="s">
        <v>22</v>
      </c>
      <c r="K25" s="17">
        <f>ROUND(3278.360892,1)</f>
        <v>3278.4</v>
      </c>
    </row>
    <row r="26" spans="1:11" x14ac:dyDescent="0.3">
      <c r="A26" s="10">
        <v>429.92340000000002</v>
      </c>
      <c r="B26" s="11">
        <f>4127.583333</f>
        <v>4127.5833329999996</v>
      </c>
      <c r="C26" s="14">
        <v>5.2</v>
      </c>
      <c r="D26" s="13">
        <v>5.3079999999999998</v>
      </c>
      <c r="E26">
        <f t="shared" ref="E26:E45" si="0">LN((B26*10^(3)*A26*10^(-9))/(C26*10^(8)))</f>
        <v>-19.495795508926346</v>
      </c>
      <c r="G26" t="s">
        <v>19</v>
      </c>
      <c r="H26">
        <f>0.17069138184242</f>
        <v>0.17069138184242</v>
      </c>
      <c r="J26" t="s">
        <v>23</v>
      </c>
      <c r="K26" s="17">
        <f>ROUND(253.2845574,1)</f>
        <v>253.3</v>
      </c>
    </row>
    <row r="27" spans="1:11" x14ac:dyDescent="0.3">
      <c r="A27" s="8">
        <v>430.79020000000003</v>
      </c>
      <c r="B27" s="9">
        <f>9035.333333</f>
        <v>9035.3333330000005</v>
      </c>
      <c r="C27" s="14">
        <v>5.9</v>
      </c>
      <c r="D27" s="13">
        <v>4.4340000000000002</v>
      </c>
      <c r="E27">
        <f t="shared" si="0"/>
        <v>-18.836624360308985</v>
      </c>
    </row>
    <row r="28" spans="1:11" x14ac:dyDescent="0.3">
      <c r="A28" s="10">
        <v>431.50839999999999</v>
      </c>
      <c r="B28" s="11">
        <f>1860.727273</f>
        <v>1860.727273</v>
      </c>
      <c r="C28" s="14">
        <v>1.5</v>
      </c>
      <c r="D28" s="13">
        <v>5.07</v>
      </c>
      <c r="E28">
        <f t="shared" si="0"/>
        <v>-19.045646735441952</v>
      </c>
    </row>
    <row r="29" spans="1:11" x14ac:dyDescent="0.3">
      <c r="A29" s="8">
        <v>432.57619999999997</v>
      </c>
      <c r="B29" s="9">
        <f>9659.136364</f>
        <v>9659.136364</v>
      </c>
      <c r="C29" s="14">
        <v>6.1</v>
      </c>
      <c r="D29" s="13">
        <v>4.4729999999999999</v>
      </c>
      <c r="E29">
        <f t="shared" si="0"/>
        <v>-18.799062057374403</v>
      </c>
    </row>
    <row r="30" spans="1:11" x14ac:dyDescent="0.3">
      <c r="A30" s="10">
        <v>433.70460000000003</v>
      </c>
      <c r="B30" s="11">
        <f>1259.769231</f>
        <v>1259.769231</v>
      </c>
      <c r="C30" s="14">
        <v>0.23</v>
      </c>
      <c r="D30" s="13">
        <v>4.415</v>
      </c>
      <c r="E30">
        <f t="shared" si="0"/>
        <v>-17.555467841491151</v>
      </c>
    </row>
    <row r="31" spans="1:11" x14ac:dyDescent="0.3">
      <c r="A31" s="8">
        <v>435.27339999999998</v>
      </c>
      <c r="B31" s="9">
        <f>1187.818182</f>
        <v>1187.818182</v>
      </c>
      <c r="C31" s="14">
        <v>1</v>
      </c>
      <c r="D31" s="13">
        <v>5.07</v>
      </c>
      <c r="E31">
        <f t="shared" si="0"/>
        <v>-19.080343519752454</v>
      </c>
    </row>
    <row r="32" spans="1:11" x14ac:dyDescent="0.3">
      <c r="A32" s="10">
        <v>436.97710000000001</v>
      </c>
      <c r="B32" s="11">
        <f>758</f>
        <v>758</v>
      </c>
      <c r="C32" s="14">
        <v>2.2000000000000002</v>
      </c>
      <c r="D32" s="13">
        <v>5.8819999999999997</v>
      </c>
      <c r="E32">
        <f t="shared" si="0"/>
        <v>-20.314084485662015</v>
      </c>
    </row>
    <row r="33" spans="1:5" x14ac:dyDescent="0.3">
      <c r="A33" s="8">
        <v>437.59300000000002</v>
      </c>
      <c r="B33" s="9">
        <f>921.5</f>
        <v>921.5</v>
      </c>
      <c r="C33" s="14">
        <v>9.2999999999999992E-3</v>
      </c>
      <c r="D33" s="13">
        <v>2.8319999999999999</v>
      </c>
      <c r="E33">
        <f t="shared" si="0"/>
        <v>-14.6511583913477</v>
      </c>
    </row>
    <row r="34" spans="1:5" x14ac:dyDescent="0.3">
      <c r="A34" s="10">
        <v>438.3544</v>
      </c>
      <c r="B34" s="11">
        <f>12022</f>
        <v>12022</v>
      </c>
      <c r="C34" s="14">
        <v>7.7</v>
      </c>
      <c r="D34" s="13">
        <v>4.3120000000000003</v>
      </c>
      <c r="E34">
        <f t="shared" si="0"/>
        <v>-18.799890331551797</v>
      </c>
    </row>
    <row r="35" spans="1:5" x14ac:dyDescent="0.3">
      <c r="A35" s="8">
        <v>440.47500000000002</v>
      </c>
      <c r="B35" s="9">
        <f>8130.913043</f>
        <v>8130.9130429999996</v>
      </c>
      <c r="C35" s="14">
        <v>4.4000000000000004</v>
      </c>
      <c r="D35" s="13">
        <v>4.3710000000000004</v>
      </c>
      <c r="E35">
        <f t="shared" si="0"/>
        <v>-18.626513651116031</v>
      </c>
    </row>
    <row r="36" spans="1:5" x14ac:dyDescent="0.3">
      <c r="A36" s="10">
        <v>441.51220000000001</v>
      </c>
      <c r="B36" s="11">
        <f>5452</f>
        <v>5452</v>
      </c>
      <c r="C36" s="14">
        <v>2.8</v>
      </c>
      <c r="D36" s="13">
        <v>4.415</v>
      </c>
      <c r="E36">
        <f t="shared" si="0"/>
        <v>-18.571867273550062</v>
      </c>
    </row>
    <row r="37" spans="1:5" x14ac:dyDescent="0.3">
      <c r="A37" s="8">
        <v>442.72989999999999</v>
      </c>
      <c r="B37" s="9">
        <f>857.8571429</f>
        <v>857.85714289999999</v>
      </c>
      <c r="C37" s="14">
        <v>9.9000000000000008E-3</v>
      </c>
      <c r="D37" s="13">
        <v>2.851</v>
      </c>
      <c r="E37">
        <f t="shared" si="0"/>
        <v>-14.77357331701408</v>
      </c>
    </row>
    <row r="38" spans="1:5" x14ac:dyDescent="0.3">
      <c r="A38" s="10">
        <v>444.23379999999997</v>
      </c>
      <c r="B38" s="11">
        <f>1773</f>
        <v>1773</v>
      </c>
      <c r="C38" s="14">
        <v>1.1000000000000001</v>
      </c>
      <c r="D38" s="13">
        <v>4.9880000000000004</v>
      </c>
      <c r="E38">
        <f t="shared" si="0"/>
        <v>-18.75472217523075</v>
      </c>
    </row>
    <row r="39" spans="1:5" x14ac:dyDescent="0.3">
      <c r="A39" s="8">
        <v>444.77179999999998</v>
      </c>
      <c r="B39" s="9">
        <f>1127.333333</f>
        <v>1127.333333</v>
      </c>
      <c r="C39" s="14">
        <v>1.9</v>
      </c>
      <c r="D39" s="13">
        <v>5.6470000000000002</v>
      </c>
      <c r="E39">
        <f t="shared" si="0"/>
        <v>-19.752873605948324</v>
      </c>
    </row>
    <row r="40" spans="1:5" x14ac:dyDescent="0.3">
      <c r="A40" s="10">
        <v>445.91180000000003</v>
      </c>
      <c r="B40" s="11">
        <f>1270.615385</f>
        <v>1270.6153850000001</v>
      </c>
      <c r="C40" s="14">
        <v>1.1000000000000001</v>
      </c>
      <c r="D40" s="13">
        <v>5.0090000000000003</v>
      </c>
      <c r="E40">
        <f t="shared" si="0"/>
        <v>-19.084123689893271</v>
      </c>
    </row>
    <row r="41" spans="1:5" x14ac:dyDescent="0.3">
      <c r="A41" s="8">
        <v>446.6551</v>
      </c>
      <c r="B41" s="9">
        <f>1716.333333</f>
        <v>1716.333333</v>
      </c>
      <c r="C41" s="14">
        <v>1</v>
      </c>
      <c r="D41" s="13">
        <v>4.9550000000000001</v>
      </c>
      <c r="E41">
        <f t="shared" si="0"/>
        <v>-18.686459082313657</v>
      </c>
    </row>
    <row r="42" spans="1:5" x14ac:dyDescent="0.3">
      <c r="A42" s="10">
        <v>447.60169999999999</v>
      </c>
      <c r="B42" s="11">
        <f>1872.636364</f>
        <v>1872.636364</v>
      </c>
      <c r="C42" s="14">
        <v>5.1999999999999998E-3</v>
      </c>
      <c r="D42" s="13">
        <v>2.8650000000000002</v>
      </c>
      <c r="E42">
        <f t="shared" si="0"/>
        <v>-13.338088336751484</v>
      </c>
    </row>
    <row r="43" spans="1:5" x14ac:dyDescent="0.3">
      <c r="A43" s="8">
        <v>448.21690000000001</v>
      </c>
      <c r="B43" s="9">
        <f>1331.8</f>
        <v>1331.8</v>
      </c>
      <c r="C43" s="14">
        <v>5.3</v>
      </c>
      <c r="D43" s="13">
        <v>5.6059999999999999</v>
      </c>
      <c r="E43">
        <f t="shared" si="0"/>
        <v>-20.604334165761156</v>
      </c>
    </row>
    <row r="44" spans="1:5" x14ac:dyDescent="0.3">
      <c r="A44" s="10">
        <v>449.45749999999998</v>
      </c>
      <c r="B44" s="11">
        <f>1711.785714</f>
        <v>1711.7857140000001</v>
      </c>
      <c r="C44" s="14">
        <v>5.4</v>
      </c>
      <c r="D44" s="13">
        <v>5.6139999999999999</v>
      </c>
      <c r="E44">
        <f t="shared" si="0"/>
        <v>-20.369256573733161</v>
      </c>
    </row>
    <row r="45" spans="1:5" x14ac:dyDescent="0.3">
      <c r="A45" s="8">
        <v>452.86130000000003</v>
      </c>
      <c r="B45" s="9">
        <f>3292.5</f>
        <v>3292.5</v>
      </c>
      <c r="C45" s="14">
        <v>5.3E-3</v>
      </c>
      <c r="D45" s="13">
        <v>2.875</v>
      </c>
      <c r="E45">
        <f t="shared" si="0"/>
        <v>-12.781154512290538</v>
      </c>
    </row>
    <row r="46" spans="1:5" x14ac:dyDescent="0.3">
      <c r="D46" s="13"/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64934-F4CF-493F-8F75-C447A13C84E4}">
  <dimension ref="A1:N13"/>
  <sheetViews>
    <sheetView tabSelected="1" topLeftCell="D1" workbookViewId="0">
      <selection activeCell="L10" sqref="L10"/>
    </sheetView>
  </sheetViews>
  <sheetFormatPr defaultRowHeight="14.4" x14ac:dyDescent="0.3"/>
  <cols>
    <col min="1" max="1" width="8" customWidth="1"/>
    <col min="2" max="2" width="17.5546875" customWidth="1"/>
    <col min="3" max="3" width="23.88671875" customWidth="1"/>
    <col min="4" max="4" width="13.21875" customWidth="1"/>
    <col min="5" max="5" width="17.109375" customWidth="1"/>
    <col min="6" max="6" width="17.33203125" customWidth="1"/>
    <col min="7" max="8" width="10.88671875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4" x14ac:dyDescent="0.3">
      <c r="A2">
        <v>307.84399999999999</v>
      </c>
      <c r="B2">
        <v>307.75479999999999</v>
      </c>
      <c r="C2">
        <v>307.91520000000003</v>
      </c>
      <c r="D2" s="3">
        <v>38475.407399999996</v>
      </c>
      <c r="E2" s="3">
        <v>384.25925360000002</v>
      </c>
      <c r="F2" s="3">
        <v>792.73361290000003</v>
      </c>
      <c r="G2" s="3">
        <v>60.845065849999997</v>
      </c>
      <c r="H2" t="s">
        <v>30</v>
      </c>
    </row>
    <row r="3" spans="1:14" x14ac:dyDescent="0.3">
      <c r="A3">
        <v>307.99509999999998</v>
      </c>
      <c r="B3">
        <v>307.91520000000003</v>
      </c>
      <c r="C3">
        <v>308.08150000000001</v>
      </c>
      <c r="D3" s="3">
        <v>41843.166669999999</v>
      </c>
      <c r="E3" s="3">
        <v>448.49998470000003</v>
      </c>
      <c r="F3" s="3">
        <v>994.97106870000005</v>
      </c>
      <c r="G3" s="3">
        <v>74.554152459999997</v>
      </c>
      <c r="H3" t="s">
        <v>30</v>
      </c>
    </row>
    <row r="4" spans="1:14" x14ac:dyDescent="0.3">
      <c r="A4">
        <v>308.32780000000002</v>
      </c>
      <c r="B4">
        <v>308.2595</v>
      </c>
      <c r="C4">
        <v>308.37810000000002</v>
      </c>
      <c r="D4" s="3">
        <v>23349.716659999998</v>
      </c>
      <c r="E4" s="3">
        <v>572.61665340000002</v>
      </c>
      <c r="F4" s="3">
        <v>480.24866980000002</v>
      </c>
      <c r="G4" s="3">
        <v>65.49800879</v>
      </c>
      <c r="H4" t="s">
        <v>30</v>
      </c>
    </row>
    <row r="5" spans="1:14" x14ac:dyDescent="0.3">
      <c r="A5">
        <v>308.51960000000003</v>
      </c>
      <c r="B5">
        <v>308.46109999999999</v>
      </c>
      <c r="C5">
        <v>308.57960000000003</v>
      </c>
      <c r="D5" s="3">
        <v>13292.86666</v>
      </c>
      <c r="E5" s="3">
        <v>452.7999939</v>
      </c>
      <c r="F5" s="3">
        <v>274.17438600000003</v>
      </c>
      <c r="G5" s="3">
        <v>53.140949399999997</v>
      </c>
      <c r="H5" t="s">
        <v>30</v>
      </c>
    </row>
    <row r="6" spans="1:14" x14ac:dyDescent="0.3">
      <c r="A6">
        <v>308.73379999999997</v>
      </c>
      <c r="B6">
        <v>308.69810000000001</v>
      </c>
      <c r="C6">
        <v>308.80470000000003</v>
      </c>
      <c r="D6" s="3">
        <v>6350.5</v>
      </c>
      <c r="E6" s="3">
        <v>432.5</v>
      </c>
      <c r="F6" s="3">
        <v>128.65866600000001</v>
      </c>
      <c r="G6" s="3">
        <v>46.104500000000002</v>
      </c>
      <c r="H6" t="s">
        <v>30</v>
      </c>
    </row>
    <row r="8" spans="1:14" x14ac:dyDescent="0.3">
      <c r="A8" t="s">
        <v>32</v>
      </c>
      <c r="B8" s="1" t="s">
        <v>31</v>
      </c>
      <c r="C8" s="2" t="s">
        <v>33</v>
      </c>
      <c r="D8" t="s">
        <v>34</v>
      </c>
      <c r="E8" t="s">
        <v>35</v>
      </c>
      <c r="F8" t="s">
        <v>36</v>
      </c>
      <c r="G8" t="s">
        <v>37</v>
      </c>
      <c r="K8" s="15" t="s">
        <v>20</v>
      </c>
      <c r="L8" s="15"/>
      <c r="M8" s="15"/>
      <c r="N8" s="15"/>
    </row>
    <row r="9" spans="1:14" x14ac:dyDescent="0.3">
      <c r="A9" s="16">
        <v>1</v>
      </c>
      <c r="B9" s="5">
        <v>307.84399999999999</v>
      </c>
      <c r="C9" s="4">
        <f>38475.4074</f>
        <v>38475.407399999996</v>
      </c>
      <c r="D9" s="13">
        <v>0.56299999999999994</v>
      </c>
      <c r="E9">
        <f>1/(Tabulka5[[#This Row],[$\lambda$ '[nm']]]*10^(-9))</f>
        <v>3248398.5395200169</v>
      </c>
      <c r="F9">
        <f>LN(Tabulka5[[#This Row],[$I_{n'''' v'''' J''''}^{n'' v'' J''}$]]/((Tabulka5[[#This Row],[$\wildetilde{v}^4]])^4*Tabulka5[[#This Row],[$S_{J''J''''}$]]))</f>
        <v>-48.842440504974554</v>
      </c>
      <c r="G9">
        <f>Tabulka5[[#This Row],[$N''$]]*(Tabulka5[[#This Row],[$N''$]]+1)</f>
        <v>2</v>
      </c>
      <c r="I9" t="s">
        <v>16</v>
      </c>
      <c r="J9" t="s">
        <v>17</v>
      </c>
      <c r="K9" s="15" t="s">
        <v>38</v>
      </c>
      <c r="L9" s="15"/>
      <c r="M9" s="15" t="s">
        <v>39</v>
      </c>
      <c r="N9" s="15"/>
    </row>
    <row r="10" spans="1:14" x14ac:dyDescent="0.3">
      <c r="A10" s="16">
        <v>2</v>
      </c>
      <c r="B10" s="6">
        <v>307.99509999999998</v>
      </c>
      <c r="C10" s="7">
        <f>41843.16667</f>
        <v>41843.166669999999</v>
      </c>
      <c r="D10" s="13">
        <v>1.0649999999999999</v>
      </c>
      <c r="E10">
        <f>1/(Tabulka5[[#This Row],[$\lambda$ '[nm']]]*10^(-9))</f>
        <v>3246804.9004675723</v>
      </c>
      <c r="F10">
        <f>LN(Tabulka5[[#This Row],[$I_{n'''' v'''' J''''}^{n'' v'' J''}$]]/((Tabulka5[[#This Row],[$\wildetilde{v}^4]])^4*Tabulka5[[#This Row],[$S_{J''J''''}$]]))</f>
        <v>-49.394018870818307</v>
      </c>
      <c r="G10">
        <f>Tabulka5[[#This Row],[$N''$]]*(Tabulka5[[#This Row],[$N''$]]+1)</f>
        <v>6</v>
      </c>
      <c r="I10" t="s">
        <v>18</v>
      </c>
      <c r="J10">
        <f>-0.086594584764493</f>
        <v>-8.6594584764492999E-2</v>
      </c>
      <c r="K10" t="s">
        <v>22</v>
      </c>
      <c r="L10">
        <f>ROUND(327.4736727,1)</f>
        <v>327.5</v>
      </c>
      <c r="M10" t="s">
        <v>22</v>
      </c>
      <c r="N10">
        <v>315</v>
      </c>
    </row>
    <row r="11" spans="1:14" x14ac:dyDescent="0.3">
      <c r="A11" s="16">
        <v>4</v>
      </c>
      <c r="B11" s="5">
        <v>308.32780000000002</v>
      </c>
      <c r="C11" s="4">
        <f>23349.71666</f>
        <v>23349.716659999998</v>
      </c>
      <c r="D11" s="13">
        <v>2.1</v>
      </c>
      <c r="E11">
        <f>1/(Tabulka5[[#This Row],[$\lambda$ '[nm']]]*10^(-9))</f>
        <v>3243301.4473557035</v>
      </c>
      <c r="F11">
        <f>LN(Tabulka5[[#This Row],[$I_{n'''' v'''' J''''}^{n'' v'' J''}$]]/((Tabulka5[[#This Row],[$\wildetilde{v}^4]])^4*Tabulka5[[#This Row],[$S_{J''J''''}$]]))</f>
        <v>-50.652006553017621</v>
      </c>
      <c r="G11">
        <f>Tabulka5[[#This Row],[$N''$]]*(Tabulka5[[#This Row],[$N''$]]+1)</f>
        <v>20</v>
      </c>
      <c r="I11" t="s">
        <v>19</v>
      </c>
      <c r="J11">
        <f>0.0036925940987732</f>
        <v>3.6925940987732001E-3</v>
      </c>
      <c r="K11" t="s">
        <v>23</v>
      </c>
      <c r="L11">
        <f>ROUND(13.96423754,1)</f>
        <v>14</v>
      </c>
      <c r="M11" t="s">
        <v>23</v>
      </c>
      <c r="N11">
        <v>12</v>
      </c>
    </row>
    <row r="12" spans="1:14" x14ac:dyDescent="0.3">
      <c r="A12" s="16">
        <v>5</v>
      </c>
      <c r="B12" s="6">
        <v>308.51960000000003</v>
      </c>
      <c r="C12" s="7">
        <f>13292.86666</f>
        <v>13292.86666</v>
      </c>
      <c r="D12" s="13">
        <v>2.64</v>
      </c>
      <c r="E12">
        <f>1/(Tabulka5[[#This Row],[$\lambda$ '[nm']]]*10^(-9))</f>
        <v>3241285.1565994504</v>
      </c>
      <c r="F12">
        <f>LN(Tabulka5[[#This Row],[$I_{n'''' v'''' J''''}^{n'' v'' J''}$]]/((Tabulka5[[#This Row],[$\wildetilde{v}^4]])^4*Tabulka5[[#This Row],[$S_{J''J''''}$]]))</f>
        <v>-51.441717937759577</v>
      </c>
      <c r="G12">
        <f>Tabulka5[[#This Row],[$N''$]]*(Tabulka5[[#This Row],[$N''$]]+1)</f>
        <v>30</v>
      </c>
    </row>
    <row r="13" spans="1:14" x14ac:dyDescent="0.3">
      <c r="A13" s="16">
        <v>6</v>
      </c>
      <c r="B13" s="5">
        <v>308.73379999999997</v>
      </c>
      <c r="C13" s="4">
        <f>6350.5</f>
        <v>6350.5</v>
      </c>
      <c r="D13" s="13">
        <v>3.16</v>
      </c>
      <c r="E13">
        <f>1/(Tabulka5[[#This Row],[$\lambda$ '[nm']]]*10^(-9))</f>
        <v>3239036.3478180878</v>
      </c>
      <c r="F13">
        <f>LN(Tabulka5[[#This Row],[$I_{n'''' v'''' J''''}^{n'' v'' J''}$]]/((Tabulka5[[#This Row],[$\wildetilde{v}^4]])^4*Tabulka5[[#This Row],[$S_{J''J''''}$]]))</f>
        <v>-52.357428878720171</v>
      </c>
      <c r="G13">
        <f>Tabulka5[[#This Row],[$N''$]]*(Tabulka5[[#This Row],[$N''$]]+1)</f>
        <v>42</v>
      </c>
    </row>
  </sheetData>
  <mergeCells count="3">
    <mergeCell ref="K9:L9"/>
    <mergeCell ref="M9:N9"/>
    <mergeCell ref="K8:N8"/>
  </mergeCells>
  <pageMargins left="0.7" right="0.7" top="0.78740157499999996" bottom="0.78740157499999996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c E A A B Q S w M E F A A C A A g A i Z R 4 T r / z O R C o A A A A + Q A A A B I A H A B D b 2 5 m a W c v U G F j a 2 F n Z S 5 4 b W w g o h g A K K A U A A A A A A A A A A A A A A A A A A A A A A A A A A A A h Y 8 x D o I w G E a v Q r r T l h K r I T 9 l Y J X E x M Q Y N 1 I r N E I x t F j u 5 u C R v I I k i r o 5 f i 9 v e N / j d o d s b J v g q n q r O 5 O i C F M U K C O 7 o z Z V i g Z 3 C l c o E 7 A p 5 b m s V D D J x i a j P a a o d u 6 S E O K 9 x z 7 G X V 8 R R m l E 9 s V 6 K 2 v V l u g j 6 / 9 y q I 1 1 p Z E K C d i 9 Y g T D n O N F v O Q 4 4 o w B m T k U 2 n w d N i V j C u Q H Q j 4 0 b u i V k D b M D 0 D m C e R 9 Q z w B U E s D B B Q A A g A I A I m U e E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J l H h O s C 3 0 7 i 0 B A A D R A w A A E w A c A E Z v c m 1 1 b G F z L 1 N l Y 3 R p b 2 4 x L m 0 g o h g A K K A U A A A A A A A A A A A A A A A A A A A A A A A A A A A A 7 d H B S s M w H A b w e 6 H v E O J l g 1 D a r t O p e L G j D i 8 K z s s I j G z 7 q 1 3 T p C S p r I 4 9 y U 4 + g I / g a T 6 Y m W W g h x y 8 e T A E Q n 4 h 4 Q u f h r n J p U B 3 7 R q d + 5 7 v 6 S e m Y I E y m F b A C o 0 u E A f j e 8 i O y U L J p Y V U P w d D O a 9 L E K a T 5 R y C V A p j N 7 q D 0 z N 6 r 0 F p u m R i B n S Y 6 w J d S f n I g Y 6 k e M k L m g T o m i m x e 0 N x G J 3 S L I m j E G W N P d q 9 8 j 1 X i h U m L + o S 9 e g l K C b o r Z J G F p J P w 4 Q u m G H 0 k C 4 w K 4 O 7 Z E A w J q L m n E R x P + y S N u 4 R n p Q f W 2 H n 7 h 2 Z p s I 2 + p j N b N y x f V Q / S F W m k t e l G D c V 6 M 7 X 7 8 h 6 j V u M M N l f A m R g Z T Y E H T x 2 e M / h i c P 7 D j 9 2 + I n D B z 9 8 0 / W 9 X D j + / 7 3 f m 9 F f 7 v e Q 7 r / f X / X 7 C V B L A Q I t A B Q A A g A I A I m U e E 6 / 8 z k Q q A A A A P k A A A A S A A A A A A A A A A A A A A A A A A A A A A B D b 2 5 m a W c v U G F j a 2 F n Z S 5 4 b W x Q S w E C L Q A U A A I A C A C J l H h O D 8 r p q 6 Q A A A D p A A A A E w A A A A A A A A A A A A A A A A D 0 A A A A W 0 N v b n R l b n R f V H l w Z X N d L n h t b F B L A Q I t A B Q A A g A I A I m U e E 6 w L f T u L Q E A A N E D A A A T A A A A A A A A A A A A A A A A A O U B A A B G b 3 J t d W x h c y 9 T Z W N 0 a W 9 u M S 5 t U E s F B g A A A A A D A A M A w g A A A F 8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Y V A A A A A A A A Z B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Z V 9 w Z W F r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Z l X 3 B l Y W t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I 0 V D E 0 O j E w O j Q 2 L j c 5 M T Q z N j Z a I i A v P j x F b n R y e S B U e X B l P S J G a W x s Q 2 9 s d W 1 u V H l w Z X M i I F Z h b H V l P S J z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Z l X 3 B l Y W t z L 1 p t x J t u x J t u w 7 0 g d H l w L n t D b 2 x 1 b W 4 x L D B 9 J n F 1 b 3 Q 7 L C Z x d W 9 0 O 1 N l Y 3 R p b 2 4 x L 0 Z l X 3 B l Y W t z L 1 p t x J t u x J t u w 7 0 g d H l w L n t D b 2 x 1 b W 4 y L D F 9 J n F 1 b 3 Q 7 L C Z x d W 9 0 O 1 N l Y 3 R p b 2 4 x L 0 Z l X 3 B l Y W t z L 1 p t x J t u x J t u w 7 0 g d H l w L n t D b 2 x 1 b W 4 z L D J 9 J n F 1 b 3 Q 7 L C Z x d W 9 0 O 1 N l Y 3 R p b 2 4 x L 0 Z l X 3 B l Y W t z L 1 p t x J t u x J t u w 7 0 g d H l w L n t D b 2 x 1 b W 4 0 L D N 9 J n F 1 b 3 Q 7 L C Z x d W 9 0 O 1 N l Y 3 R p b 2 4 x L 0 Z l X 3 B l Y W t z L 1 p t x J t u x J t u w 7 0 g d H l w L n t D b 2 x 1 b W 4 1 L D R 9 J n F 1 b 3 Q 7 L C Z x d W 9 0 O 1 N l Y 3 R p b 2 4 x L 0 Z l X 3 B l Y W t z L 1 p t x J t u x J t u w 7 0 g d H l w L n t D b 2 x 1 b W 4 2 L D V 9 J n F 1 b 3 Q 7 L C Z x d W 9 0 O 1 N l Y 3 R p b 2 4 x L 0 Z l X 3 B l Y W t z L 1 p t x J t u x J t u w 7 0 g d H l w L n t D b 2 x 1 b W 4 3 L D Z 9 J n F 1 b 3 Q 7 L C Z x d W 9 0 O 1 N l Y 3 R p b 2 4 x L 0 Z l X 3 B l Y W t z L 1 p t x J t u x J t u w 7 0 g d H l w L n t D b 2 x 1 b W 4 4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0 Z l X 3 B l Y W t z L 1 p t x J t u x J t u w 7 0 g d H l w L n t D b 2 x 1 b W 4 x L D B 9 J n F 1 b 3 Q 7 L C Z x d W 9 0 O 1 N l Y 3 R p b 2 4 x L 0 Z l X 3 B l Y W t z L 1 p t x J t u x J t u w 7 0 g d H l w L n t D b 2 x 1 b W 4 y L D F 9 J n F 1 b 3 Q 7 L C Z x d W 9 0 O 1 N l Y 3 R p b 2 4 x L 0 Z l X 3 B l Y W t z L 1 p t x J t u x J t u w 7 0 g d H l w L n t D b 2 x 1 b W 4 z L D J 9 J n F 1 b 3 Q 7 L C Z x d W 9 0 O 1 N l Y 3 R p b 2 4 x L 0 Z l X 3 B l Y W t z L 1 p t x J t u x J t u w 7 0 g d H l w L n t D b 2 x 1 b W 4 0 L D N 9 J n F 1 b 3 Q 7 L C Z x d W 9 0 O 1 N l Y 3 R p b 2 4 x L 0 Z l X 3 B l Y W t z L 1 p t x J t u x J t u w 7 0 g d H l w L n t D b 2 x 1 b W 4 1 L D R 9 J n F 1 b 3 Q 7 L C Z x d W 9 0 O 1 N l Y 3 R p b 2 4 x L 0 Z l X 3 B l Y W t z L 1 p t x J t u x J t u w 7 0 g d H l w L n t D b 2 x 1 b W 4 2 L D V 9 J n F 1 b 3 Q 7 L C Z x d W 9 0 O 1 N l Y 3 R p b 2 4 x L 0 Z l X 3 B l Y W t z L 1 p t x J t u x J t u w 7 0 g d H l w L n t D b 2 x 1 b W 4 3 L D Z 9 J n F 1 b 3 Q 7 L C Z x d W 9 0 O 1 N l Y 3 R p b 2 4 x L 0 Z l X 3 B l Y W t z L 1 p t x J t u x J t u w 7 0 g d H l w L n t D b 2 x 1 b W 4 4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Z V 9 w Z W F r c y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l X 3 B l Y W t z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S F 9 w Z W F r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9 I X 3 B l Y W t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j R U M T c 6 M z Y 6 M T g u N T M 1 O D E 4 M l o i I C 8 + P E V u d H J 5 I F R 5 c G U 9 I k Z p b G x D b 2 x 1 b W 5 U e X B l c y I g V m F s d W U 9 I n N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0 h f c G V h a 3 M v W m 3 E m 2 7 E m 2 7 D v S B 0 e X A u e 0 N v b H V t b j E s M H 0 m c X V v d D s s J n F 1 b 3 Q 7 U 2 V j d G l v b j E v T 0 h f c G V h a 3 M v W m 3 E m 2 7 E m 2 7 D v S B 0 e X A u e 0 N v b H V t b j I s M X 0 m c X V v d D s s J n F 1 b 3 Q 7 U 2 V j d G l v b j E v T 0 h f c G V h a 3 M v W m 3 E m 2 7 E m 2 7 D v S B 0 e X A u e 0 N v b H V t b j M s M n 0 m c X V v d D s s J n F 1 b 3 Q 7 U 2 V j d G l v b j E v T 0 h f c G V h a 3 M v W m 3 E m 2 7 E m 2 7 D v S B 0 e X A u e 0 N v b H V t b j Q s M 3 0 m c X V v d D s s J n F 1 b 3 Q 7 U 2 V j d G l v b j E v T 0 h f c G V h a 3 M v W m 3 E m 2 7 E m 2 7 D v S B 0 e X A u e 0 N v b H V t b j U s N H 0 m c X V v d D s s J n F 1 b 3 Q 7 U 2 V j d G l v b j E v T 0 h f c G V h a 3 M v W m 3 E m 2 7 E m 2 7 D v S B 0 e X A u e 0 N v b H V t b j Y s N X 0 m c X V v d D s s J n F 1 b 3 Q 7 U 2 V j d G l v b j E v T 0 h f c G V h a 3 M v W m 3 E m 2 7 E m 2 7 D v S B 0 e X A u e 0 N v b H V t b j c s N n 0 m c X V v d D s s J n F 1 b 3 Q 7 U 2 V j d G l v b j E v T 0 h f c G V h a 3 M v W m 3 E m 2 7 E m 2 7 D v S B 0 e X A u e 0 N v b H V t b j g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T 0 h f c G V h a 3 M v W m 3 E m 2 7 E m 2 7 D v S B 0 e X A u e 0 N v b H V t b j E s M H 0 m c X V v d D s s J n F 1 b 3 Q 7 U 2 V j d G l v b j E v T 0 h f c G V h a 3 M v W m 3 E m 2 7 E m 2 7 D v S B 0 e X A u e 0 N v b H V t b j I s M X 0 m c X V v d D s s J n F 1 b 3 Q 7 U 2 V j d G l v b j E v T 0 h f c G V h a 3 M v W m 3 E m 2 7 E m 2 7 D v S B 0 e X A u e 0 N v b H V t b j M s M n 0 m c X V v d D s s J n F 1 b 3 Q 7 U 2 V j d G l v b j E v T 0 h f c G V h a 3 M v W m 3 E m 2 7 E m 2 7 D v S B 0 e X A u e 0 N v b H V t b j Q s M 3 0 m c X V v d D s s J n F 1 b 3 Q 7 U 2 V j d G l v b j E v T 0 h f c G V h a 3 M v W m 3 E m 2 7 E m 2 7 D v S B 0 e X A u e 0 N v b H V t b j U s N H 0 m c X V v d D s s J n F 1 b 3 Q 7 U 2 V j d G l v b j E v T 0 h f c G V h a 3 M v W m 3 E m 2 7 E m 2 7 D v S B 0 e X A u e 0 N v b H V t b j Y s N X 0 m c X V v d D s s J n F 1 b 3 Q 7 U 2 V j d G l v b j E v T 0 h f c G V h a 3 M v W m 3 E m 2 7 E m 2 7 D v S B 0 e X A u e 0 N v b H V t b j c s N n 0 m c X V v d D s s J n F 1 b 3 Q 7 U 2 V j d G l v b j E v T 0 h f c G V h a 3 M v W m 3 E m 2 7 E m 2 7 D v S B 0 e X A u e 0 N v b H V t b j g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9 I X 3 B l Y W t z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0 h f c G V h a 3 M v W m 0 l Q z Q l O U J u J U M 0 J T l C b i V D M y V C R C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u 0 b F Q R V Q t R p u p p A b r W G P O A A A A A A I A A A A A A B B m A A A A A Q A A I A A A A P e Q Y L e u W E L j e o X d i 1 S S 7 o + + m p M + j C k p Q 1 P B H b R M h E s s A A A A A A 6 A A A A A A g A A I A A A A H v 2 u i 2 A 6 p f 6 o m 9 d x N r d g F D a D U C e 1 R B G z u f G D n 1 P v 6 T 6 U A A A A I 5 i f F L r h Y c 7 7 c d 7 + a 5 l b f n F m w 7 l I M q u V p / Y B 1 W u k Z p e N X e z T s A i D Z 4 2 m H R j u 2 + G k K u 8 z q x H 5 S E Y x y Y I D 4 R C N j g F 0 b d N J n R c u w T F Y h r c 3 M + F Q A A A A J r 5 v h I R 6 7 T C C j T I / R j Q Y A C L l Z 3 u v u x m O v H W w O o 1 / h h T 7 / k 1 2 e j n g 8 9 l P E + r c 7 r J N 9 7 j y 3 O c R + z k o a W U x 0 b 4 P b Y = < / D a t a M a s h u p > 
</file>

<file path=customXml/itemProps1.xml><?xml version="1.0" encoding="utf-8"?>
<ds:datastoreItem xmlns:ds="http://schemas.openxmlformats.org/officeDocument/2006/customXml" ds:itemID="{ABE58844-C803-4BEC-B277-9C6A9E70C22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Do LaTeXu</vt:lpstr>
      <vt:lpstr>Výpočet Fe</vt:lpstr>
      <vt:lpstr>Výpočet OH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Beran</dc:creator>
  <cp:lastModifiedBy>Jan Beran</cp:lastModifiedBy>
  <dcterms:created xsi:type="dcterms:W3CDTF">2019-03-24T14:03:32Z</dcterms:created>
  <dcterms:modified xsi:type="dcterms:W3CDTF">2019-03-24T20:42:25Z</dcterms:modified>
</cp:coreProperties>
</file>