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 filterPrivacy="1"/>
  <xr:revisionPtr revIDLastSave="0" documentId="13_ncr:1_{2BF6C89C-3CA2-472B-9DD1-B45E85F7E8CE}" xr6:coauthVersionLast="43" xr6:coauthVersionMax="43" xr10:uidLastSave="{00000000-0000-0000-0000-000000000000}"/>
  <bookViews>
    <workbookView xWindow="-26835" yWindow="-4875" windowWidth="16515" windowHeight="11130" firstSheet="1" activeTab="1" xr2:uid="{00000000-000D-0000-FFFF-FFFF00000000}"/>
  </bookViews>
  <sheets>
    <sheet name="Teoreticky_proud" sheetId="6" r:id="rId1"/>
    <sheet name="If18" sheetId="2" r:id="rId2"/>
    <sheet name="if19" sheetId="4" r:id="rId3"/>
    <sheet name="IF18_AGAIN" sheetId="7" r:id="rId4"/>
    <sheet name="IF19_AGAIN" sheetId="8" r:id="rId5"/>
    <sheet name="Ua 20" sheetId="3" r:id="rId6"/>
    <sheet name="LaTeX U_a 20 - Work" sheetId="5" r:id="rId7"/>
    <sheet name="E" sheetId="1" r:id="rId8"/>
  </sheets>
  <definedNames>
    <definedName name="ExterníData_1" localSheetId="1" hidden="1">'If18'!$A$1:$D$73</definedName>
    <definedName name="ExterníData_1" localSheetId="2" hidden="1">'if19'!$A$1:$D$59</definedName>
    <definedName name="ExterníData_1" localSheetId="5" hidden="1">'Ua 20'!$A$1:$D$16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" i="2" l="1"/>
  <c r="E2" i="2"/>
  <c r="J3" i="4"/>
  <c r="J2" i="4"/>
  <c r="H28" i="4"/>
  <c r="H13" i="2"/>
  <c r="I13" i="2" s="1"/>
  <c r="J11" i="2" s="1"/>
  <c r="I26" i="4"/>
  <c r="I28" i="4"/>
  <c r="H4" i="2"/>
  <c r="I4" i="2" s="1"/>
  <c r="H2" i="2"/>
  <c r="I11" i="2"/>
  <c r="I2" i="2"/>
  <c r="H2" i="4"/>
  <c r="I2" i="4" s="1"/>
  <c r="P3" i="4"/>
  <c r="F36" i="2"/>
  <c r="F2" i="2"/>
  <c r="M2" i="2"/>
  <c r="I7" i="2"/>
  <c r="I6" i="2"/>
  <c r="L5" i="4"/>
  <c r="A3" i="1"/>
  <c r="E2" i="4"/>
  <c r="B60" i="4"/>
  <c r="A60" i="4"/>
  <c r="A74" i="2"/>
  <c r="B74" i="2"/>
  <c r="F3" i="3"/>
  <c r="F2" i="3"/>
  <c r="G2" i="3" s="1"/>
  <c r="K22" i="4"/>
  <c r="F3" i="2"/>
  <c r="G2" i="2"/>
  <c r="C21" i="3"/>
  <c r="C19" i="3"/>
  <c r="B19" i="3"/>
  <c r="B20" i="3"/>
  <c r="B21" i="3" s="1"/>
  <c r="F4" i="3"/>
  <c r="F5" i="3"/>
  <c r="F6" i="3"/>
  <c r="F7" i="3"/>
  <c r="F8" i="3"/>
  <c r="F9" i="3"/>
  <c r="F10" i="3"/>
  <c r="F11" i="3"/>
  <c r="F12" i="3"/>
  <c r="F13" i="3"/>
  <c r="F14" i="3"/>
  <c r="F15" i="3"/>
  <c r="F16" i="3"/>
  <c r="J26" i="4" l="1"/>
  <c r="H2" i="3"/>
  <c r="L18" i="4" l="1"/>
  <c r="M18" i="4"/>
  <c r="L2" i="4"/>
  <c r="G16" i="4"/>
  <c r="L13" i="4"/>
  <c r="L12" i="4"/>
  <c r="L4" i="4"/>
  <c r="L3" i="4"/>
  <c r="M2" i="4"/>
  <c r="H4" i="3"/>
  <c r="F16" i="2"/>
  <c r="F3" i="4"/>
  <c r="G3" i="4"/>
  <c r="F4" i="4"/>
  <c r="G4" i="4"/>
  <c r="F5" i="4"/>
  <c r="G5" i="4"/>
  <c r="F6" i="4"/>
  <c r="G6" i="4"/>
  <c r="F7" i="4"/>
  <c r="G7" i="4"/>
  <c r="F8" i="4"/>
  <c r="G8" i="4"/>
  <c r="F9" i="4"/>
  <c r="G9" i="4"/>
  <c r="F10" i="4"/>
  <c r="G10" i="4"/>
  <c r="F11" i="4"/>
  <c r="G11" i="4"/>
  <c r="F12" i="4"/>
  <c r="G12" i="4"/>
  <c r="F13" i="4"/>
  <c r="G13" i="4"/>
  <c r="F14" i="4"/>
  <c r="G14" i="4"/>
  <c r="F15" i="4"/>
  <c r="G15" i="4"/>
  <c r="F16" i="4"/>
  <c r="F17" i="4"/>
  <c r="G17" i="4"/>
  <c r="F18" i="4"/>
  <c r="G18" i="4"/>
  <c r="F19" i="4"/>
  <c r="G19" i="4"/>
  <c r="F20" i="4"/>
  <c r="G20" i="4"/>
  <c r="F21" i="4"/>
  <c r="G21" i="4"/>
  <c r="F22" i="4"/>
  <c r="G22" i="4"/>
  <c r="F23" i="4"/>
  <c r="G23" i="4"/>
  <c r="F24" i="4"/>
  <c r="G24" i="4"/>
  <c r="F25" i="4"/>
  <c r="G25" i="4"/>
  <c r="F26" i="4"/>
  <c r="G26" i="4"/>
  <c r="F27" i="4"/>
  <c r="G27" i="4"/>
  <c r="F28" i="4"/>
  <c r="G28" i="4"/>
  <c r="F29" i="4"/>
  <c r="G29" i="4"/>
  <c r="F30" i="4"/>
  <c r="G30" i="4"/>
  <c r="F31" i="4"/>
  <c r="G31" i="4"/>
  <c r="F32" i="4"/>
  <c r="G32" i="4"/>
  <c r="F33" i="4"/>
  <c r="G33" i="4"/>
  <c r="F34" i="4"/>
  <c r="G34" i="4"/>
  <c r="F35" i="4"/>
  <c r="G35" i="4"/>
  <c r="F36" i="4"/>
  <c r="G36" i="4"/>
  <c r="F37" i="4"/>
  <c r="G37" i="4"/>
  <c r="F38" i="4"/>
  <c r="G38" i="4"/>
  <c r="F39" i="4"/>
  <c r="G39" i="4"/>
  <c r="F40" i="4"/>
  <c r="G40" i="4"/>
  <c r="F41" i="4"/>
  <c r="G41" i="4"/>
  <c r="F42" i="4"/>
  <c r="G42" i="4"/>
  <c r="F43" i="4"/>
  <c r="G43" i="4"/>
  <c r="F44" i="4"/>
  <c r="G44" i="4"/>
  <c r="F45" i="4"/>
  <c r="G45" i="4"/>
  <c r="F46" i="4"/>
  <c r="G46" i="4"/>
  <c r="F47" i="4"/>
  <c r="G47" i="4"/>
  <c r="F48" i="4"/>
  <c r="G48" i="4"/>
  <c r="F49" i="4"/>
  <c r="G49" i="4"/>
  <c r="F50" i="4"/>
  <c r="G50" i="4"/>
  <c r="F51" i="4"/>
  <c r="G51" i="4"/>
  <c r="F52" i="4"/>
  <c r="G52" i="4"/>
  <c r="F53" i="4"/>
  <c r="G53" i="4"/>
  <c r="F54" i="4"/>
  <c r="G54" i="4"/>
  <c r="F55" i="4"/>
  <c r="G55" i="4"/>
  <c r="F56" i="4"/>
  <c r="G56" i="4"/>
  <c r="F57" i="4"/>
  <c r="G57" i="4"/>
  <c r="F58" i="4"/>
  <c r="G58" i="4"/>
  <c r="F59" i="4"/>
  <c r="G59" i="4"/>
  <c r="G2" i="4"/>
  <c r="F2" i="4"/>
  <c r="G3" i="2"/>
  <c r="F4" i="2"/>
  <c r="G4" i="2"/>
  <c r="F5" i="2"/>
  <c r="G5" i="2"/>
  <c r="F6" i="2"/>
  <c r="G6" i="2"/>
  <c r="F7" i="2"/>
  <c r="G7" i="2"/>
  <c r="F8" i="2"/>
  <c r="G8" i="2"/>
  <c r="F9" i="2"/>
  <c r="G9" i="2"/>
  <c r="F10" i="2"/>
  <c r="G10" i="2"/>
  <c r="F11" i="2"/>
  <c r="G11" i="2"/>
  <c r="F12" i="2"/>
  <c r="G12" i="2"/>
  <c r="F13" i="2"/>
  <c r="G13" i="2"/>
  <c r="F14" i="2"/>
  <c r="G14" i="2"/>
  <c r="F15" i="2"/>
  <c r="G15" i="2"/>
  <c r="G16" i="2"/>
  <c r="F17" i="2"/>
  <c r="G17" i="2"/>
  <c r="F18" i="2"/>
  <c r="G18" i="2"/>
  <c r="F19" i="2"/>
  <c r="G19" i="2"/>
  <c r="F20" i="2"/>
  <c r="G20" i="2"/>
  <c r="F21" i="2"/>
  <c r="G21" i="2"/>
  <c r="F22" i="2"/>
  <c r="G22" i="2"/>
  <c r="F23" i="2"/>
  <c r="G23" i="2"/>
  <c r="F24" i="2"/>
  <c r="G24" i="2"/>
  <c r="F25" i="2"/>
  <c r="G25" i="2"/>
  <c r="F26" i="2"/>
  <c r="G26" i="2"/>
  <c r="F27" i="2"/>
  <c r="G27" i="2"/>
  <c r="F28" i="2"/>
  <c r="G28" i="2"/>
  <c r="F29" i="2"/>
  <c r="G29" i="2"/>
  <c r="F30" i="2"/>
  <c r="G30" i="2"/>
  <c r="F31" i="2"/>
  <c r="G31" i="2"/>
  <c r="F32" i="2"/>
  <c r="G32" i="2"/>
  <c r="F33" i="2"/>
  <c r="G33" i="2"/>
  <c r="F34" i="2"/>
  <c r="G34" i="2"/>
  <c r="F35" i="2"/>
  <c r="G35" i="2"/>
  <c r="G36" i="2"/>
  <c r="F37" i="2"/>
  <c r="G37" i="2"/>
  <c r="F38" i="2"/>
  <c r="G38" i="2"/>
  <c r="F39" i="2"/>
  <c r="G39" i="2"/>
  <c r="F40" i="2"/>
  <c r="G40" i="2"/>
  <c r="F41" i="2"/>
  <c r="G41" i="2"/>
  <c r="F42" i="2"/>
  <c r="G42" i="2"/>
  <c r="F43" i="2"/>
  <c r="G43" i="2"/>
  <c r="F44" i="2"/>
  <c r="G44" i="2"/>
  <c r="F45" i="2"/>
  <c r="G45" i="2"/>
  <c r="F46" i="2"/>
  <c r="G46" i="2"/>
  <c r="F47" i="2"/>
  <c r="G47" i="2"/>
  <c r="F48" i="2"/>
  <c r="G48" i="2"/>
  <c r="F49" i="2"/>
  <c r="G49" i="2"/>
  <c r="F50" i="2"/>
  <c r="G50" i="2"/>
  <c r="F51" i="2"/>
  <c r="G51" i="2"/>
  <c r="F52" i="2"/>
  <c r="G52" i="2"/>
  <c r="F53" i="2"/>
  <c r="G53" i="2"/>
  <c r="F54" i="2"/>
  <c r="G54" i="2"/>
  <c r="F55" i="2"/>
  <c r="G55" i="2"/>
  <c r="F56" i="2"/>
  <c r="G56" i="2"/>
  <c r="F57" i="2"/>
  <c r="G57" i="2"/>
  <c r="F58" i="2"/>
  <c r="G58" i="2"/>
  <c r="F59" i="2"/>
  <c r="G59" i="2"/>
  <c r="F60" i="2"/>
  <c r="G60" i="2"/>
  <c r="F61" i="2"/>
  <c r="G61" i="2"/>
  <c r="F62" i="2"/>
  <c r="G62" i="2"/>
  <c r="F63" i="2"/>
  <c r="G63" i="2"/>
  <c r="F64" i="2"/>
  <c r="G64" i="2"/>
  <c r="F65" i="2"/>
  <c r="G65" i="2"/>
  <c r="F66" i="2"/>
  <c r="G66" i="2"/>
  <c r="F67" i="2"/>
  <c r="G67" i="2"/>
  <c r="F68" i="2"/>
  <c r="G68" i="2"/>
  <c r="F69" i="2"/>
  <c r="G69" i="2"/>
  <c r="F70" i="2"/>
  <c r="G70" i="2"/>
  <c r="F71" i="2"/>
  <c r="G71" i="2"/>
  <c r="F72" i="2"/>
  <c r="G72" i="2"/>
  <c r="F73" i="2"/>
  <c r="G73" i="2"/>
  <c r="H3" i="3"/>
  <c r="H5" i="3"/>
  <c r="H6" i="3"/>
  <c r="H7" i="3"/>
  <c r="H8" i="3"/>
  <c r="H9" i="3"/>
  <c r="H10" i="3"/>
  <c r="H11" i="3"/>
  <c r="H12" i="3"/>
  <c r="H13" i="3"/>
  <c r="H14" i="3"/>
  <c r="H15" i="3"/>
  <c r="H16" i="3"/>
  <c r="L14" i="4" l="1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06FAD35-0BDE-42AE-BC53-8080EFDE5D8D}" keepAlive="1" name="Dotaz – beran_If18" description="Připojení k dotazu produktu beran_If18 v sešitě" type="5" refreshedVersion="6" background="1" saveData="1">
    <dbPr connection="Provider=Microsoft.Mashup.OleDb.1;Data Source=$Workbook$;Location=beran_If18;Extended Properties=&quot;&quot;" command="SELECT * FROM [beran_If18]"/>
  </connection>
  <connection id="2" xr16:uid="{A002D72F-5CA2-4CF0-A843-A407B39117D4}" keepAlive="1" name="Dotaz – beran_If19" description="Připojení k dotazu produktu beran_If19 v sešitě" type="5" refreshedVersion="6" background="1" saveData="1">
    <dbPr connection="Provider=Microsoft.Mashup.OleDb.1;Data Source=$Workbook$;Location=beran_If19;Extended Properties=&quot;&quot;" command="SELECT * FROM [beran_If19]"/>
  </connection>
  <connection id="3" xr16:uid="{4783992A-5254-4560-94C7-8546EC7A13C2}" keepAlive="1" name="Dotaz – beran_Ua20" description="Připojení k dotazu produktu beran_Ua20 v sešitě" type="5" refreshedVersion="6" background="1" saveData="1">
    <dbPr connection="Provider=Microsoft.Mashup.OleDb.1;Data Source=$Workbook$;Location=beran_Ua20;Extended Properties=&quot;&quot;" command="SELECT * FROM [beran_Ua20]"/>
  </connection>
</connections>
</file>

<file path=xl/sharedStrings.xml><?xml version="1.0" encoding="utf-8"?>
<sst xmlns="http://schemas.openxmlformats.org/spreadsheetml/2006/main" count="1032" uniqueCount="56">
  <si>
    <t>Uf/V</t>
  </si>
  <si>
    <t>If/A</t>
  </si>
  <si>
    <t>Ua/V</t>
  </si>
  <si>
    <t>Ia/uA</t>
  </si>
  <si>
    <t>t</t>
  </si>
  <si>
    <t>1/t</t>
  </si>
  <si>
    <t>Inas/T^2</t>
  </si>
  <si>
    <t>Směrnice</t>
  </si>
  <si>
    <t>Hodnota</t>
  </si>
  <si>
    <t>Chyba</t>
  </si>
  <si>
    <t>k (Boltzman)</t>
  </si>
  <si>
    <t>lnI_a</t>
  </si>
  <si>
    <t>Smernice</t>
  </si>
  <si>
    <t>Náboj</t>
  </si>
  <si>
    <t>Boltzman</t>
  </si>
  <si>
    <t>Teplota</t>
  </si>
  <si>
    <t>x</t>
  </si>
  <si>
    <t>sqrt{U_a}</t>
  </si>
  <si>
    <t>B</t>
  </si>
  <si>
    <t>Odlog</t>
  </si>
  <si>
    <t>Teoreticky</t>
  </si>
  <si>
    <t>Odhad leketrické intenzity</t>
  </si>
  <si>
    <t>Proud</t>
  </si>
  <si>
    <t>hodnota</t>
  </si>
  <si>
    <t>odychlka</t>
  </si>
  <si>
    <t>Max Bod</t>
  </si>
  <si>
    <t xml:space="preserve"> proud</t>
  </si>
  <si>
    <t>mikroapér</t>
  </si>
  <si>
    <t>$I_\text{nas}/uA$</t>
  </si>
  <si>
    <t>práce [eV]</t>
  </si>
  <si>
    <t>$U_f$ [V]</t>
  </si>
  <si>
    <t>$I_f$ [A]</t>
  </si>
  <si>
    <t>$U_a$ [V]</t>
  </si>
  <si>
    <t>$I_a$ [$\mu$A]</t>
  </si>
  <si>
    <t>$T$ [K]</t>
  </si>
  <si>
    <t>$1/T$ [K]</t>
  </si>
  <si>
    <t>$I_\text{nas}/T^2$</t>
  </si>
  <si>
    <t>&amp;</t>
  </si>
  <si>
    <t>\\ \hline</t>
  </si>
  <si>
    <t>U_a^(1/2)</t>
  </si>
  <si>
    <t>I"</t>
  </si>
  <si>
    <t>I</t>
  </si>
  <si>
    <t>Delta</t>
  </si>
  <si>
    <t>Teoretická hodnota I_nas</t>
  </si>
  <si>
    <t>Teorie</t>
  </si>
  <si>
    <t>Error</t>
  </si>
  <si>
    <t>Odchylka</t>
  </si>
  <si>
    <t>Nedef</t>
  </si>
  <si>
    <t>$\ln{I_{\text{nas}}$</t>
  </si>
  <si>
    <t>$I_\text{nas} [$\mu$A$]</t>
  </si>
  <si>
    <t>$\sqrt(U_a)$</t>
  </si>
  <si>
    <t>ln(I)</t>
  </si>
  <si>
    <t>ln(I')</t>
  </si>
  <si>
    <t>I'</t>
  </si>
  <si>
    <t>Teorie I'</t>
  </si>
  <si>
    <t>Teorie Delta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</si>
</sst>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5" formatCode="0.00000000"/>
    <numFmt numFmtId="166" formatCode="0.000000000"/>
    <numFmt numFmtId="175" formatCode="0.000000"/>
    <numFmt numFmtId="176" formatCode="0.00000"/>
    <numFmt numFmtId="178" formatCode="0.000"/>
    <numFmt numFmtId="179" formatCode="0.0"/>
    <numFmt numFmtId="188" formatCode="0.000000E+0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rgb="FF222222"/>
      <name val="Arial"/>
      <family val="2"/>
      <charset val="238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  <xf numFmtId="0" fontId="0" fillId="2" borderId="0" xfId="0" applyFill="1"/>
    <xf numFmtId="165" fontId="0" fillId="0" borderId="0" xfId="0" applyNumberFormat="1"/>
    <xf numFmtId="166" fontId="0" fillId="0" borderId="0" xfId="0" applyNumberFormat="1"/>
    <xf numFmtId="175" fontId="0" fillId="0" borderId="0" xfId="0" applyNumberFormat="1"/>
    <xf numFmtId="176" fontId="0" fillId="0" borderId="0" xfId="0" applyNumberFormat="1"/>
    <xf numFmtId="178" fontId="0" fillId="0" borderId="0" xfId="0" applyNumberFormat="1"/>
    <xf numFmtId="2" fontId="0" fillId="0" borderId="0" xfId="0" applyNumberFormat="1"/>
    <xf numFmtId="179" fontId="0" fillId="0" borderId="0" xfId="0" applyNumberFormat="1"/>
    <xf numFmtId="0" fontId="0" fillId="0" borderId="0" xfId="0" applyAlignment="1">
      <alignment horizontal="center"/>
    </xf>
    <xf numFmtId="11" fontId="0" fillId="0" borderId="0" xfId="0" applyNumberFormat="1"/>
    <xf numFmtId="188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íData_1" connectionId="1" xr16:uid="{150D7389-7FA6-4802-9C90-DDA456AB01F0}" autoFormatId="16" applyNumberFormats="0" applyBorderFormats="0" applyFontFormats="0" applyPatternFormats="0" applyAlignmentFormats="0" applyWidthHeightFormats="0">
  <queryTableRefresh nextId="5">
    <queryTableFields count="4">
      <queryTableField id="1" name="Column1" tableColumnId="1"/>
      <queryTableField id="2" name="Column2" tableColumnId="2"/>
      <queryTableField id="3" name="Column3" tableColumnId="3"/>
      <queryTableField id="4" name="Column4" tableColumnId="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íData_1" connectionId="2" xr16:uid="{CDC5CD5F-AFE4-47D3-B3AE-0C390A8CA508}" autoFormatId="16" applyNumberFormats="0" applyBorderFormats="0" applyFontFormats="0" applyPatternFormats="0" applyAlignmentFormats="0" applyWidthHeightFormats="0">
  <queryTableRefresh nextId="5">
    <queryTableFields count="4">
      <queryTableField id="1" name="Uf/V" tableColumnId="1"/>
      <queryTableField id="2" name="If/A" tableColumnId="2"/>
      <queryTableField id="3" name="Ua/V" tableColumnId="3"/>
      <queryTableField id="4" name="Ia/uA" tableColumnId="4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íData_1" connectionId="3" xr16:uid="{73E42BE4-A58F-4093-8C10-DABB74404F49}" autoFormatId="16" applyNumberFormats="0" applyBorderFormats="0" applyFontFormats="0" applyPatternFormats="0" applyAlignmentFormats="0" applyWidthHeightFormats="0">
  <queryTableRefresh nextId="5">
    <queryTableFields count="4">
      <queryTableField id="1" name="Uf/V" tableColumnId="1"/>
      <queryTableField id="2" name="If/A" tableColumnId="2"/>
      <queryTableField id="3" name="Ua/V" tableColumnId="3"/>
      <queryTableField id="4" name="Ia/uA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6408977-CEE5-4831-A008-825D1D7924F2}" name="beran_If18" displayName="beran_If18" ref="A1:D74" tableType="queryTable" totalsRowCount="1">
  <autoFilter ref="A1:D73" xr:uid="{1751F8F8-E828-47DC-A79D-C98A16218A8F}"/>
  <tableColumns count="4">
    <tableColumn id="1" xr3:uid="{3879B179-B598-45F5-9A7F-F043ABA3733B}" uniqueName="1" name="Uf/V" totalsRowFunction="custom" queryTableFieldId="1">
      <totalsRowFormula>AVERAGE(A2:A73)</totalsRowFormula>
    </tableColumn>
    <tableColumn id="2" xr3:uid="{A46A75D9-ECEF-4263-BE3E-8F558F500129}" uniqueName="2" name="If/A" totalsRowFunction="custom" queryTableFieldId="2">
      <totalsRowFormula>AVERAGE(B2:B73)</totalsRowFormula>
    </tableColumn>
    <tableColumn id="3" xr3:uid="{0B152C5F-F628-49DA-96BF-3303D5632A21}" uniqueName="3" name="Ua/V" queryTableFieldId="3"/>
    <tableColumn id="4" xr3:uid="{A8AD3CE3-A3F8-4F97-A900-CAB2996A7C24}" uniqueName="4" name="$I_\text{nas}/uA$" queryTableFieldId="4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B5333EF-1A83-4046-9462-56353098BB4F}" name="beran_If19" displayName="beran_If19" ref="A1:D60" tableType="queryTable" totalsRowCount="1">
  <autoFilter ref="A1:D59" xr:uid="{084E4A5C-F5D2-42C6-BAC2-98C885C4F8D8}"/>
  <tableColumns count="4">
    <tableColumn id="1" xr3:uid="{D0CE1AD6-EDC1-4117-8476-43E0A2EE3223}" uniqueName="1" name="Uf/V" totalsRowFunction="custom" queryTableFieldId="1">
      <totalsRowFormula>AVERAGE(beran_If19[Uf/V])</totalsRowFormula>
    </tableColumn>
    <tableColumn id="2" xr3:uid="{3067FBE6-309B-4877-BBF0-526025C69B4B}" uniqueName="2" name="If/A" totalsRowFunction="custom" queryTableFieldId="2">
      <totalsRowFormula>AVERAGE(beran_If19[If/A])</totalsRowFormula>
    </tableColumn>
    <tableColumn id="3" xr3:uid="{D5906593-00AF-4857-9555-93FADA375744}" uniqueName="3" name="Ua/V" queryTableFieldId="3"/>
    <tableColumn id="4" xr3:uid="{EA968DF1-6DCE-45AC-830C-341D61E40322}" uniqueName="4" name="Ia/uA" queryTableFieldId="4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7F817D-0715-45F8-9EDE-F291E3BBC0A9}" name="beran_Ua20" displayName="beran_Ua20" ref="A1:D16" tableType="queryTable" totalsRowShown="0">
  <autoFilter ref="A1:D16" xr:uid="{5E1AC175-8838-4899-9AAC-2EA2FDA34C7D}"/>
  <tableColumns count="4">
    <tableColumn id="1" xr3:uid="{F8520790-C101-4DBA-AE9D-6BDD7F22B534}" uniqueName="1" name="Uf/V" queryTableFieldId="1"/>
    <tableColumn id="2" xr3:uid="{E31A44B2-ABF8-4221-8342-96B207CA2328}" uniqueName="2" name="If/A" queryTableFieldId="2"/>
    <tableColumn id="3" xr3:uid="{A545988C-CDAD-4EA7-86B3-4FE9062AB472}" uniqueName="3" name="Ua/V" queryTableFieldId="3"/>
    <tableColumn id="4" xr3:uid="{BFBB9B49-58C1-48E5-BC78-0628BCF86F2E}" uniqueName="4" name="Ia/uA" queryTableFieldId="4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5CC42-67E2-4B19-9E1D-00585EA8A42B}">
  <dimension ref="A1"/>
  <sheetViews>
    <sheetView workbookViewId="0">
      <selection activeCell="A2" sqref="A2"/>
    </sheetView>
  </sheetViews>
  <sheetFormatPr defaultRowHeight="14.4" x14ac:dyDescent="0.3"/>
  <cols>
    <col min="1" max="1" width="24.33203125" customWidth="1"/>
  </cols>
  <sheetData>
    <row r="1" spans="1:1" x14ac:dyDescent="0.3">
      <c r="A1" t="s">
        <v>43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C732E-A83A-42D4-8950-AB05AF782E94}">
  <dimension ref="A1:M74"/>
  <sheetViews>
    <sheetView tabSelected="1" topLeftCell="C1" zoomScaleNormal="100" workbookViewId="0">
      <selection activeCell="I7" sqref="I7"/>
    </sheetView>
  </sheetViews>
  <sheetFormatPr defaultRowHeight="14.4" x14ac:dyDescent="0.3"/>
  <cols>
    <col min="1" max="3" width="10.77734375" bestFit="1" customWidth="1"/>
    <col min="4" max="4" width="19.44140625" customWidth="1"/>
    <col min="7" max="7" width="10" customWidth="1"/>
    <col min="8" max="8" width="12.6640625" bestFit="1" customWidth="1"/>
    <col min="9" max="9" width="12" customWidth="1"/>
    <col min="13" max="13" width="15.21875" customWidth="1"/>
    <col min="15" max="15" width="11.33203125" bestFit="1" customWidth="1"/>
    <col min="19" max="19" width="12.6640625" bestFit="1" customWidth="1"/>
    <col min="22" max="22" width="14.77734375" customWidth="1"/>
  </cols>
  <sheetData>
    <row r="1" spans="1:13" x14ac:dyDescent="0.3">
      <c r="A1" t="s">
        <v>0</v>
      </c>
      <c r="B1" t="s">
        <v>1</v>
      </c>
      <c r="C1" t="s">
        <v>2</v>
      </c>
      <c r="D1" t="s">
        <v>28</v>
      </c>
      <c r="E1" t="s">
        <v>15</v>
      </c>
      <c r="F1" t="s">
        <v>11</v>
      </c>
      <c r="G1" t="s">
        <v>39</v>
      </c>
      <c r="H1" t="s">
        <v>40</v>
      </c>
      <c r="I1" t="s">
        <v>42</v>
      </c>
      <c r="J1" t="s">
        <v>12</v>
      </c>
      <c r="K1" t="s">
        <v>46</v>
      </c>
      <c r="L1" t="s">
        <v>15</v>
      </c>
      <c r="M1" t="s">
        <v>45</v>
      </c>
    </row>
    <row r="2" spans="1:13" x14ac:dyDescent="0.3">
      <c r="A2">
        <v>4.1724889999999997</v>
      </c>
      <c r="B2">
        <v>1.8040719999999999</v>
      </c>
      <c r="C2">
        <v>-19.95</v>
      </c>
      <c r="D2">
        <v>9.2121221700000003E-4</v>
      </c>
      <c r="E2">
        <f>(A74/B74)/(4.98*10^(-8)*4.83*10^(-3)*7.76*10^6)-1/(4.83*10^(-3))+273.15</f>
        <v>1304.7285113744128</v>
      </c>
      <c r="F2">
        <f>LN(beran_If18[[#This Row],[$I_\text{nas}/uA$]])</f>
        <v>-6.9898201280561834</v>
      </c>
      <c r="G2" t="e">
        <f>(beran_If18[[#This Row],[Ua/V]])^(1/2)</f>
        <v>#NUM!</v>
      </c>
      <c r="H2" s="13">
        <f>(500)^(1/2)*(1.0637*10^(-2))*10^(-6)+(2.2*10^(-6))</f>
        <v>2.4378505507666529E-6</v>
      </c>
      <c r="I2" s="13">
        <f>H2-2.1996524*10^(-6)</f>
        <v>2.3819815076665287E-7</v>
      </c>
      <c r="J2" s="8">
        <v>0.2492852603014</v>
      </c>
      <c r="K2" s="13">
        <v>1.8560717297324999E-2</v>
      </c>
      <c r="L2">
        <f>I6/(I7*J2)</f>
        <v>46551.176136007722</v>
      </c>
      <c r="M2" s="10">
        <f>I6/(I7*K2)</f>
        <v>625219.48233506398</v>
      </c>
    </row>
    <row r="3" spans="1:13" x14ac:dyDescent="0.3">
      <c r="A3">
        <v>4.1719679999999997</v>
      </c>
      <c r="B3">
        <v>1.804235</v>
      </c>
      <c r="C3">
        <v>-18.95</v>
      </c>
      <c r="D3">
        <v>-1.92731982E-3</v>
      </c>
      <c r="F3" t="e">
        <f>LN(beran_If18[[#This Row],[$I_\text{nas}/uA$]])</f>
        <v>#NUM!</v>
      </c>
      <c r="G3" t="e">
        <f>(beran_If18[[#This Row],[Ua/V]])^(1/2)</f>
        <v>#NUM!</v>
      </c>
      <c r="H3" t="s">
        <v>54</v>
      </c>
      <c r="I3" t="s">
        <v>55</v>
      </c>
    </row>
    <row r="4" spans="1:13" x14ac:dyDescent="0.3">
      <c r="A4">
        <v>4.1717139999999997</v>
      </c>
      <c r="B4">
        <v>1.8040620000000001</v>
      </c>
      <c r="C4">
        <v>-17.95</v>
      </c>
      <c r="D4">
        <v>-6.2032648800000004E-4</v>
      </c>
      <c r="F4" t="e">
        <f>LN(beran_If18[[#This Row],[$I_\text{nas}/uA$]])</f>
        <v>#NUM!</v>
      </c>
      <c r="G4" t="e">
        <f>(beran_If18[[#This Row],[Ua/V]])^(1/2)</f>
        <v>#NUM!</v>
      </c>
      <c r="H4">
        <f>EXP((((1.602*10^(-19))^3)/(4*PI()*(8.854*10^(-12))*(1.380648*10^(-23))^2*(1304.73)^2))^(1/2)*(1248234.8^(1/2))+H11)</f>
        <v>13.153288063684817</v>
      </c>
      <c r="I4">
        <f>H4-I11</f>
        <v>4.1314106423274826</v>
      </c>
    </row>
    <row r="5" spans="1:13" x14ac:dyDescent="0.3">
      <c r="A5">
        <v>4.1716559999999996</v>
      </c>
      <c r="B5">
        <v>1.8042100000000001</v>
      </c>
      <c r="C5">
        <v>-17.155999999999999</v>
      </c>
      <c r="D5">
        <v>4.70455804E-3</v>
      </c>
      <c r="F5">
        <f>LN(beran_If18[[#This Row],[$I_\text{nas}/uA$]])</f>
        <v>-5.3592234444695253</v>
      </c>
      <c r="G5" t="e">
        <f>(beran_If18[[#This Row],[Ua/V]])^(1/2)</f>
        <v>#NUM!</v>
      </c>
    </row>
    <row r="6" spans="1:13" x14ac:dyDescent="0.3">
      <c r="A6">
        <v>4.1713360000000002</v>
      </c>
      <c r="B6">
        <v>1.804122</v>
      </c>
      <c r="C6">
        <v>-15.96</v>
      </c>
      <c r="D6">
        <v>-1.06448647E-3</v>
      </c>
      <c r="F6" t="e">
        <f>LN(beran_If18[[#This Row],[$I_\text{nas}/uA$]])</f>
        <v>#NUM!</v>
      </c>
      <c r="G6" t="e">
        <f>(beran_If18[[#This Row],[Ua/V]])^(1/2)</f>
        <v>#NUM!</v>
      </c>
      <c r="H6" t="s">
        <v>13</v>
      </c>
      <c r="I6" s="2">
        <f>1.6021766208*10^(-19)</f>
        <v>1.6021766207999999E-19</v>
      </c>
    </row>
    <row r="7" spans="1:13" x14ac:dyDescent="0.3">
      <c r="A7">
        <v>4.1713290000000001</v>
      </c>
      <c r="B7">
        <v>1.804122</v>
      </c>
      <c r="C7">
        <v>-14.96</v>
      </c>
      <c r="D7">
        <v>-7.4955776699999995E-4</v>
      </c>
      <c r="F7" t="e">
        <f>LN(beran_If18[[#This Row],[$I_\text{nas}/uA$]])</f>
        <v>#NUM!</v>
      </c>
      <c r="G7" t="e">
        <f>(beran_If18[[#This Row],[Ua/V]])^(1/2)</f>
        <v>#NUM!</v>
      </c>
      <c r="H7" t="s">
        <v>14</v>
      </c>
      <c r="I7">
        <f>1.38064852*10^(-23)</f>
        <v>1.3806485200000002E-23</v>
      </c>
    </row>
    <row r="8" spans="1:13" x14ac:dyDescent="0.3">
      <c r="A8">
        <v>4.1711169999999997</v>
      </c>
      <c r="B8">
        <v>1.8041750000000001</v>
      </c>
      <c r="C8">
        <v>-13.96</v>
      </c>
      <c r="D8">
        <v>-1.5220354899999999E-3</v>
      </c>
      <c r="F8" t="e">
        <f>LN(beran_If18[[#This Row],[$I_\text{nas}/uA$]])</f>
        <v>#NUM!</v>
      </c>
      <c r="G8" t="e">
        <f>(beran_If18[[#This Row],[Ua/V]])^(1/2)</f>
        <v>#NUM!</v>
      </c>
    </row>
    <row r="9" spans="1:13" x14ac:dyDescent="0.3">
      <c r="A9">
        <v>4.1710310000000002</v>
      </c>
      <c r="B9">
        <v>1.8041320000000001</v>
      </c>
      <c r="C9">
        <v>-12.968</v>
      </c>
      <c r="D9">
        <v>2.2306904500000001E-4</v>
      </c>
      <c r="F9">
        <f>LN(beran_If18[[#This Row],[$I_\text{nas}/uA$]])</f>
        <v>-8.4080292155920944</v>
      </c>
      <c r="G9" t="e">
        <f>(beran_If18[[#This Row],[Ua/V]])^(1/2)</f>
        <v>#NUM!</v>
      </c>
    </row>
    <row r="10" spans="1:13" x14ac:dyDescent="0.3">
      <c r="A10">
        <v>4.1709680000000002</v>
      </c>
      <c r="B10">
        <v>1.804111</v>
      </c>
      <c r="C10">
        <v>-11.97</v>
      </c>
      <c r="D10">
        <v>-1.57273077E-3</v>
      </c>
      <c r="F10" t="e">
        <f>LN(beran_If18[[#This Row],[$I_\text{nas}/uA$]])</f>
        <v>#NUM!</v>
      </c>
      <c r="G10" t="e">
        <f>(beran_If18[[#This Row],[Ua/V]])^(1/2)</f>
        <v>#NUM!</v>
      </c>
      <c r="H10" t="s">
        <v>51</v>
      </c>
      <c r="I10" t="s">
        <v>41</v>
      </c>
      <c r="J10" t="s">
        <v>42</v>
      </c>
    </row>
    <row r="11" spans="1:13" x14ac:dyDescent="0.3">
      <c r="A11">
        <v>4.1709500000000004</v>
      </c>
      <c r="B11">
        <v>1.8041609999999999</v>
      </c>
      <c r="C11">
        <v>-10.97</v>
      </c>
      <c r="D11">
        <v>-1.52623694E-3</v>
      </c>
      <c r="F11" t="e">
        <f>LN(beran_If18[[#This Row],[$I_\text{nas}/uA$]])</f>
        <v>#NUM!</v>
      </c>
      <c r="G11" t="e">
        <f>(beran_If18[[#This Row],[Ua/V]])^(1/2)</f>
        <v>#NUM!</v>
      </c>
      <c r="H11" s="14">
        <v>2.1996524522565002</v>
      </c>
      <c r="I11">
        <f>EXP(H11)</f>
        <v>9.0218774213573347</v>
      </c>
      <c r="J11">
        <f>I13-I11</f>
        <v>2.4225509108054357</v>
      </c>
    </row>
    <row r="12" spans="1:13" x14ac:dyDescent="0.3">
      <c r="A12">
        <v>4.170947</v>
      </c>
      <c r="B12">
        <v>1.8041499999999999</v>
      </c>
      <c r="C12">
        <v>-9.9700000000000006</v>
      </c>
      <c r="D12">
        <v>7.5075117399999998E-4</v>
      </c>
      <c r="F12">
        <f>LN(beran_If18[[#This Row],[$I_\text{nas}/uA$]])</f>
        <v>-7.1944362873324934</v>
      </c>
      <c r="G12" t="e">
        <f>(beran_If18[[#This Row],[Ua/V]])^(1/2)</f>
        <v>#NUM!</v>
      </c>
      <c r="H12" t="s">
        <v>52</v>
      </c>
      <c r="I12" t="s">
        <v>53</v>
      </c>
    </row>
    <row r="13" spans="1:13" x14ac:dyDescent="0.3">
      <c r="A13">
        <v>4.1709709999999998</v>
      </c>
      <c r="B13">
        <v>1.804171</v>
      </c>
      <c r="C13">
        <v>-8.9760000000000009</v>
      </c>
      <c r="D13">
        <v>1.04624205E-3</v>
      </c>
      <c r="F13">
        <f>LN(beran_If18[[#This Row],[$I_\text{nas}/uA$]])</f>
        <v>-6.8625505347557665</v>
      </c>
      <c r="G13" t="e">
        <f>(beran_If18[[#This Row],[Ua/V]])^(1/2)</f>
        <v>#NUM!</v>
      </c>
      <c r="H13" s="14">
        <f>(500)^(1/2)*(1.0637*10^(-2))+(H11)</f>
        <v>2.4375030030231528</v>
      </c>
      <c r="I13">
        <f>EXP(H13)</f>
        <v>11.44442833216277</v>
      </c>
    </row>
    <row r="14" spans="1:13" x14ac:dyDescent="0.3">
      <c r="A14">
        <v>4.1708249999999998</v>
      </c>
      <c r="B14">
        <v>1.804154</v>
      </c>
      <c r="C14">
        <v>-7.98</v>
      </c>
      <c r="D14">
        <v>7.1512224900000003E-3</v>
      </c>
      <c r="F14">
        <f>LN(beran_If18[[#This Row],[$I_\text{nas}/uA$]])</f>
        <v>-4.9404719592688506</v>
      </c>
      <c r="G14" t="e">
        <f>(beran_If18[[#This Row],[Ua/V]])^(1/2)</f>
        <v>#NUM!</v>
      </c>
    </row>
    <row r="15" spans="1:13" x14ac:dyDescent="0.3">
      <c r="A15">
        <v>4.1709500000000004</v>
      </c>
      <c r="B15">
        <v>1.8040929999999999</v>
      </c>
      <c r="C15">
        <v>-7.18</v>
      </c>
      <c r="D15">
        <v>1.07486747E-3</v>
      </c>
      <c r="F15">
        <f>LN(beran_If18[[#This Row],[$I_\text{nas}/uA$]])</f>
        <v>-6.8355579087235041</v>
      </c>
      <c r="G15" t="e">
        <f>(beran_If18[[#This Row],[Ua/V]])^(1/2)</f>
        <v>#NUM!</v>
      </c>
    </row>
    <row r="16" spans="1:13" x14ac:dyDescent="0.3">
      <c r="A16">
        <v>4.1709019999999999</v>
      </c>
      <c r="B16">
        <v>1.804168</v>
      </c>
      <c r="C16">
        <v>-6.18</v>
      </c>
      <c r="D16">
        <v>-7.8921811900000002E-4</v>
      </c>
      <c r="F16" t="e">
        <f>LN(beran_If18[[#This Row],[$I_\text{nas}/uA$]])</f>
        <v>#NUM!</v>
      </c>
      <c r="G16" t="e">
        <f>(beran_If18[[#This Row],[Ua/V]])^(1/2)</f>
        <v>#NUM!</v>
      </c>
    </row>
    <row r="17" spans="1:7" x14ac:dyDescent="0.3">
      <c r="A17">
        <v>4.1710060000000002</v>
      </c>
      <c r="B17">
        <v>1.8041430000000001</v>
      </c>
      <c r="C17">
        <v>-4.9880000000000004</v>
      </c>
      <c r="D17">
        <v>2.39090127E-4</v>
      </c>
      <c r="F17">
        <f>LN(beran_If18[[#This Row],[$I_\text{nas}/uA$]])</f>
        <v>-8.3386699766988457</v>
      </c>
      <c r="G17" t="e">
        <f>(beran_If18[[#This Row],[Ua/V]])^(1/2)</f>
        <v>#NUM!</v>
      </c>
    </row>
    <row r="18" spans="1:7" x14ac:dyDescent="0.3">
      <c r="A18">
        <v>4.1710029999999998</v>
      </c>
      <c r="B18">
        <v>1.8042</v>
      </c>
      <c r="C18">
        <v>-4.1900000000000004</v>
      </c>
      <c r="D18">
        <v>6.3905643999999998E-3</v>
      </c>
      <c r="F18">
        <f>LN(beran_If18[[#This Row],[$I_\text{nas}/uA$]])</f>
        <v>-5.0529326889845549</v>
      </c>
      <c r="G18" t="e">
        <f>(beran_If18[[#This Row],[Ua/V]])^(1/2)</f>
        <v>#NUM!</v>
      </c>
    </row>
    <row r="19" spans="1:7" x14ac:dyDescent="0.3">
      <c r="A19">
        <v>4.171062</v>
      </c>
      <c r="B19">
        <v>1.8041430000000001</v>
      </c>
      <c r="C19">
        <v>-3.59</v>
      </c>
      <c r="D19">
        <v>2.36601138E-2</v>
      </c>
      <c r="F19">
        <f>LN(beran_If18[[#This Row],[$I_\text{nas}/uA$]])</f>
        <v>-3.7439646106378843</v>
      </c>
      <c r="G19" t="e">
        <f>(beran_If18[[#This Row],[Ua/V]])^(1/2)</f>
        <v>#NUM!</v>
      </c>
    </row>
    <row r="20" spans="1:7" x14ac:dyDescent="0.3">
      <c r="A20">
        <v>4.1710580000000004</v>
      </c>
      <c r="B20">
        <v>1.8041469999999999</v>
      </c>
      <c r="C20">
        <v>-3.19</v>
      </c>
      <c r="D20">
        <v>7.1316931200000003E-2</v>
      </c>
      <c r="F20">
        <f>LN(beran_If18[[#This Row],[$I_\text{nas}/uA$]])</f>
        <v>-2.6406215155164316</v>
      </c>
      <c r="G20" t="e">
        <f>(beran_If18[[#This Row],[Ua/V]])^(1/2)</f>
        <v>#NUM!</v>
      </c>
    </row>
    <row r="21" spans="1:7" x14ac:dyDescent="0.3">
      <c r="A21">
        <v>4.1710760000000002</v>
      </c>
      <c r="B21">
        <v>1.804122</v>
      </c>
      <c r="C21">
        <v>-2.79</v>
      </c>
      <c r="D21">
        <v>0.162608473</v>
      </c>
      <c r="F21">
        <f>LN(beran_If18[[#This Row],[$I_\text{nas}/uA$]])</f>
        <v>-1.8164099737549835</v>
      </c>
      <c r="G21" t="e">
        <f>(beran_If18[[#This Row],[Ua/V]])^(1/2)</f>
        <v>#NUM!</v>
      </c>
    </row>
    <row r="22" spans="1:7" x14ac:dyDescent="0.3">
      <c r="A22">
        <v>4.1710409999999998</v>
      </c>
      <c r="B22">
        <v>1.804136</v>
      </c>
      <c r="C22">
        <v>-2.3919999999999999</v>
      </c>
      <c r="D22">
        <v>0.30409043600000002</v>
      </c>
      <c r="F22">
        <f>LN(beran_If18[[#This Row],[$I_\text{nas}/uA$]])</f>
        <v>-1.190430134974247</v>
      </c>
      <c r="G22" t="e">
        <f>(beran_If18[[#This Row],[Ua/V]])^(1/2)</f>
        <v>#NUM!</v>
      </c>
    </row>
    <row r="23" spans="1:7" x14ac:dyDescent="0.3">
      <c r="A23">
        <v>4.1711029999999996</v>
      </c>
      <c r="B23">
        <v>1.804157</v>
      </c>
      <c r="C23">
        <v>-2.0735999999999999</v>
      </c>
      <c r="D23">
        <v>0.51258927200000004</v>
      </c>
      <c r="F23">
        <f>LN(beran_If18[[#This Row],[$I_\text{nas}/uA$]])</f>
        <v>-0.66828039387047011</v>
      </c>
      <c r="G23" t="e">
        <f>(beran_If18[[#This Row],[Ua/V]])^(1/2)</f>
        <v>#NUM!</v>
      </c>
    </row>
    <row r="24" spans="1:7" x14ac:dyDescent="0.3">
      <c r="A24">
        <v>4.1711549999999997</v>
      </c>
      <c r="B24">
        <v>1.804189</v>
      </c>
      <c r="C24">
        <v>-1.5946</v>
      </c>
      <c r="D24">
        <v>0.797680732</v>
      </c>
      <c r="F24">
        <f>LN(beran_If18[[#This Row],[$I_\text{nas}/uA$]])</f>
        <v>-0.22604684680080309</v>
      </c>
      <c r="G24" t="e">
        <f>(beran_If18[[#This Row],[Ua/V]])^(1/2)</f>
        <v>#NUM!</v>
      </c>
    </row>
    <row r="25" spans="1:7" x14ac:dyDescent="0.3">
      <c r="A25">
        <v>4.1711900000000002</v>
      </c>
      <c r="B25">
        <v>1.804192</v>
      </c>
      <c r="C25">
        <v>-1.196</v>
      </c>
      <c r="D25">
        <v>0.98121778999999998</v>
      </c>
      <c r="F25">
        <f>LN(beran_If18[[#This Row],[$I_\text{nas}/uA$]])</f>
        <v>-1.8960835901993676E-2</v>
      </c>
      <c r="G25" t="e">
        <f>(beran_If18[[#This Row],[Ua/V]])^(1/2)</f>
        <v>#NUM!</v>
      </c>
    </row>
    <row r="26" spans="1:7" x14ac:dyDescent="0.3">
      <c r="A26">
        <v>4.1710929999999999</v>
      </c>
      <c r="B26">
        <v>1.804125</v>
      </c>
      <c r="C26">
        <v>-0.79800000000000004</v>
      </c>
      <c r="D26">
        <v>1.4276991699999999</v>
      </c>
      <c r="F26">
        <f>LN(beran_If18[[#This Row],[$I_\text{nas}/uA$]])</f>
        <v>0.35606417645824207</v>
      </c>
      <c r="G26" t="e">
        <f>(beran_If18[[#This Row],[Ua/V]])^(1/2)</f>
        <v>#NUM!</v>
      </c>
    </row>
    <row r="27" spans="1:7" x14ac:dyDescent="0.3">
      <c r="A27">
        <v>4.1710409999999998</v>
      </c>
      <c r="B27">
        <v>1.8040579999999999</v>
      </c>
      <c r="C27">
        <v>-0.40300000000000002</v>
      </c>
      <c r="D27">
        <v>1.9603389600000001</v>
      </c>
      <c r="F27">
        <f>LN(beran_If18[[#This Row],[$I_\text{nas}/uA$]])</f>
        <v>0.67311739706574991</v>
      </c>
      <c r="G27" t="e">
        <f>(beran_If18[[#This Row],[Ua/V]])^(1/2)</f>
        <v>#NUM!</v>
      </c>
    </row>
    <row r="28" spans="1:7" x14ac:dyDescent="0.3">
      <c r="A28">
        <v>4.1710200000000004</v>
      </c>
      <c r="B28">
        <v>1.804238</v>
      </c>
      <c r="C28">
        <v>-2E-3</v>
      </c>
      <c r="D28">
        <v>2.40151753</v>
      </c>
      <c r="F28">
        <f>LN(beran_If18[[#This Row],[$I_\text{nas}/uA$]])</f>
        <v>0.87610084170051394</v>
      </c>
      <c r="G28" t="e">
        <f>(beran_If18[[#This Row],[Ua/V]])^(1/2)</f>
        <v>#NUM!</v>
      </c>
    </row>
    <row r="29" spans="1:7" x14ac:dyDescent="0.3">
      <c r="A29">
        <v>4.1710520000000004</v>
      </c>
      <c r="B29">
        <v>1.804101</v>
      </c>
      <c r="C29">
        <v>0.39900000000000002</v>
      </c>
      <c r="D29">
        <v>3.4625218100000001</v>
      </c>
      <c r="F29" s="1">
        <f>LN(beran_If18[[#This Row],[$I_\text{nas}/uA$]])</f>
        <v>1.2419971704105863</v>
      </c>
      <c r="G29" s="1">
        <f>(beran_If18[[#This Row],[Ua/V]])^(1/2)</f>
        <v>0.63166446789415032</v>
      </c>
    </row>
    <row r="30" spans="1:7" x14ac:dyDescent="0.3">
      <c r="A30">
        <v>4.1710130000000003</v>
      </c>
      <c r="B30">
        <v>1.8041609999999999</v>
      </c>
      <c r="C30">
        <v>0.79759999999999998</v>
      </c>
      <c r="D30">
        <v>3.9101412999999998</v>
      </c>
      <c r="F30" s="1">
        <f>LN(beran_If18[[#This Row],[$I_\text{nas}/uA$]])</f>
        <v>1.3635735114517256</v>
      </c>
      <c r="G30" s="1">
        <f>(beran_If18[[#This Row],[Ua/V]])^(1/2)</f>
        <v>0.89308454247064428</v>
      </c>
    </row>
    <row r="31" spans="1:7" x14ac:dyDescent="0.3">
      <c r="A31">
        <v>4.1710820000000002</v>
      </c>
      <c r="B31">
        <v>1.804189</v>
      </c>
      <c r="C31">
        <v>1.1162000000000001</v>
      </c>
      <c r="D31">
        <v>3.9505306099999999</v>
      </c>
      <c r="F31" s="1">
        <f>LN(beran_If18[[#This Row],[$I_\text{nas}/uA$]])</f>
        <v>1.3738499015369126</v>
      </c>
      <c r="G31" s="1">
        <f>(beran_If18[[#This Row],[Ua/V]])^(1/2)</f>
        <v>1.0565036677645754</v>
      </c>
    </row>
    <row r="32" spans="1:7" x14ac:dyDescent="0.3">
      <c r="A32">
        <v>4.1710960000000004</v>
      </c>
      <c r="B32">
        <v>1.8041609999999999</v>
      </c>
      <c r="C32">
        <v>1.5152000000000001</v>
      </c>
      <c r="D32">
        <v>4.5202796200000002</v>
      </c>
      <c r="F32" s="1">
        <f>LN(beran_If18[[#This Row],[$I_\text{nas}/uA$]])</f>
        <v>1.5085738547625722</v>
      </c>
      <c r="G32" s="1">
        <f>(beran_If18[[#This Row],[Ua/V]])^(1/2)</f>
        <v>1.2309346042743294</v>
      </c>
    </row>
    <row r="33" spans="1:7" x14ac:dyDescent="0.3">
      <c r="A33">
        <v>4.1710649999999996</v>
      </c>
      <c r="B33">
        <v>1.8041290000000001</v>
      </c>
      <c r="C33">
        <v>1.9930000000000001</v>
      </c>
      <c r="D33">
        <v>5.4284007000000001</v>
      </c>
      <c r="F33" s="1">
        <f>LN(beran_If18[[#This Row],[$I_\text{nas}/uA$]])</f>
        <v>1.6916445601765109</v>
      </c>
      <c r="G33" s="1">
        <f>(beran_If18[[#This Row],[Ua/V]])^(1/2)</f>
        <v>1.4117365193264642</v>
      </c>
    </row>
    <row r="34" spans="1:7" x14ac:dyDescent="0.3">
      <c r="A34">
        <v>4.1712040000000004</v>
      </c>
      <c r="B34">
        <v>1.804122</v>
      </c>
      <c r="C34">
        <v>2.3919999999999999</v>
      </c>
      <c r="D34">
        <v>5.7291526700000004</v>
      </c>
      <c r="F34" s="1">
        <f>LN(beran_If18[[#This Row],[$I_\text{nas}/uA$]])</f>
        <v>1.7455676437011507</v>
      </c>
      <c r="G34" s="1">
        <f>(beran_If18[[#This Row],[Ua/V]])^(1/2)</f>
        <v>1.5466091943344964</v>
      </c>
    </row>
    <row r="35" spans="1:7" x14ac:dyDescent="0.3">
      <c r="A35">
        <v>4.171163</v>
      </c>
      <c r="B35">
        <v>1.804189</v>
      </c>
      <c r="C35">
        <v>2.7103999999999999</v>
      </c>
      <c r="D35">
        <v>5.9871834399999999</v>
      </c>
      <c r="F35" s="1">
        <f>LN(beran_If18[[#This Row],[$I_\text{nas}/uA$]])</f>
        <v>1.7896210911932204</v>
      </c>
      <c r="G35" s="1">
        <f>(beran_If18[[#This Row],[Ua/V]])^(1/2)</f>
        <v>1.6463292501805342</v>
      </c>
    </row>
    <row r="36" spans="1:7" x14ac:dyDescent="0.3">
      <c r="A36">
        <v>4.1712559999999996</v>
      </c>
      <c r="B36">
        <v>1.804125</v>
      </c>
      <c r="C36">
        <v>3.1890000000000001</v>
      </c>
      <c r="D36">
        <v>6.19154961</v>
      </c>
      <c r="F36" s="1">
        <f>LN(beran_If18[[#This Row],[$I_\text{nas}/uA$]])</f>
        <v>1.823185396238832</v>
      </c>
      <c r="G36" s="1">
        <f>(beran_If18[[#This Row],[Ua/V]])^(1/2)</f>
        <v>1.7857771417508961</v>
      </c>
    </row>
    <row r="37" spans="1:7" x14ac:dyDescent="0.3">
      <c r="A37">
        <v>4.1712800000000003</v>
      </c>
      <c r="B37">
        <v>1.804125</v>
      </c>
      <c r="C37">
        <v>3.5880000000000001</v>
      </c>
      <c r="D37">
        <v>6.3728112499999998</v>
      </c>
      <c r="F37" s="1">
        <f>LN(beran_If18[[#This Row],[$I_\text{nas}/uA$]])</f>
        <v>1.8520406987587736</v>
      </c>
      <c r="G37" s="1">
        <f>(beran_If18[[#This Row],[Ua/V]])^(1/2)</f>
        <v>1.8942016788082519</v>
      </c>
    </row>
    <row r="38" spans="1:7" x14ac:dyDescent="0.3">
      <c r="A38">
        <v>4.171284</v>
      </c>
      <c r="B38">
        <v>1.804157</v>
      </c>
      <c r="C38">
        <v>3.9064000000000001</v>
      </c>
      <c r="D38">
        <v>6.4554337300000002</v>
      </c>
      <c r="F38" s="1">
        <f>LN(beran_If18[[#This Row],[$I_\text{nas}/uA$]])</f>
        <v>1.8649222149150071</v>
      </c>
      <c r="G38" s="1">
        <f>(beran_If18[[#This Row],[Ua/V]])^(1/2)</f>
        <v>1.9764614845728716</v>
      </c>
    </row>
    <row r="39" spans="1:7" x14ac:dyDescent="0.3">
      <c r="A39">
        <v>4.171322</v>
      </c>
      <c r="B39">
        <v>1.8040719999999999</v>
      </c>
      <c r="C39">
        <v>4.9880000000000004</v>
      </c>
      <c r="D39">
        <v>6.6143735699999997</v>
      </c>
      <c r="F39" s="1">
        <f>LN(beran_If18[[#This Row],[$I_\text{nas}/uA$]])</f>
        <v>1.8892450946700428</v>
      </c>
      <c r="G39" s="1">
        <f>(beran_If18[[#This Row],[Ua/V]])^(1/2)</f>
        <v>2.2333830840229809</v>
      </c>
    </row>
    <row r="40" spans="1:7" x14ac:dyDescent="0.3">
      <c r="A40">
        <v>4.1713430000000002</v>
      </c>
      <c r="B40">
        <v>1.8041499999999999</v>
      </c>
      <c r="C40">
        <v>5.98</v>
      </c>
      <c r="D40">
        <v>6.7379957900000003</v>
      </c>
      <c r="F40" s="1">
        <f>LN(beran_If18[[#This Row],[$I_\text{nas}/uA$]])</f>
        <v>1.9077625201696811</v>
      </c>
      <c r="G40" s="1">
        <f>(beran_If18[[#This Row],[Ua/V]])^(1/2)</f>
        <v>2.4454038521274968</v>
      </c>
    </row>
    <row r="41" spans="1:7" x14ac:dyDescent="0.3">
      <c r="A41">
        <v>4.1713079999999998</v>
      </c>
      <c r="B41">
        <v>1.804125</v>
      </c>
      <c r="C41">
        <v>6.98</v>
      </c>
      <c r="D41">
        <v>6.8502312200000004</v>
      </c>
      <c r="F41" s="1">
        <f>LN(beran_If18[[#This Row],[$I_\text{nas}/uA$]])</f>
        <v>1.924282406448981</v>
      </c>
      <c r="G41" s="1">
        <f>(beran_If18[[#This Row],[Ua/V]])^(1/2)</f>
        <v>2.6419689627245813</v>
      </c>
    </row>
    <row r="42" spans="1:7" x14ac:dyDescent="0.3">
      <c r="A42">
        <v>4.171284</v>
      </c>
      <c r="B42">
        <v>1.804136</v>
      </c>
      <c r="C42">
        <v>7.78</v>
      </c>
      <c r="D42">
        <v>6.9356187199999999</v>
      </c>
      <c r="F42" s="1">
        <f>LN(beran_If18[[#This Row],[$I_\text{nas}/uA$]])</f>
        <v>1.9366702668023343</v>
      </c>
      <c r="G42" s="1">
        <f>(beran_If18[[#This Row],[Ua/V]])^(1/2)</f>
        <v>2.7892651361962706</v>
      </c>
    </row>
    <row r="43" spans="1:7" x14ac:dyDescent="0.3">
      <c r="A43">
        <v>4.1712040000000004</v>
      </c>
      <c r="B43">
        <v>1.8041640000000001</v>
      </c>
      <c r="C43">
        <v>8.98</v>
      </c>
      <c r="D43">
        <v>7.0254774500000003</v>
      </c>
      <c r="F43" s="1">
        <f>LN(beran_If18[[#This Row],[$I_\text{nas}/uA$]])</f>
        <v>1.9495431773231449</v>
      </c>
      <c r="G43" s="1">
        <f>(beran_If18[[#This Row],[Ua/V]])^(1/2)</f>
        <v>2.9966648127543394</v>
      </c>
    </row>
    <row r="44" spans="1:7" x14ac:dyDescent="0.3">
      <c r="A44">
        <v>4.1711479999999996</v>
      </c>
      <c r="B44">
        <v>1.804154</v>
      </c>
      <c r="C44">
        <v>9.9700000000000006</v>
      </c>
      <c r="D44">
        <v>7.1184203200000002</v>
      </c>
      <c r="F44" s="1">
        <f>LN(beran_If18[[#This Row],[$I_\text{nas}/uA$]])</f>
        <v>1.9626858356396277</v>
      </c>
      <c r="G44" s="1">
        <f>(beran_If18[[#This Row],[Ua/V]])^(1/2)</f>
        <v>3.1575306807693888</v>
      </c>
    </row>
    <row r="45" spans="1:7" x14ac:dyDescent="0.3">
      <c r="A45">
        <v>4.1711169999999997</v>
      </c>
      <c r="B45">
        <v>1.8041290000000001</v>
      </c>
      <c r="C45">
        <v>11.97</v>
      </c>
      <c r="D45">
        <v>7.2663263999999996</v>
      </c>
      <c r="F45" s="1">
        <f>LN(beran_If18[[#This Row],[$I_\text{nas}/uA$]])</f>
        <v>1.9832508543425034</v>
      </c>
      <c r="G45" s="1">
        <f>(beran_If18[[#This Row],[Ua/V]])^(1/2)</f>
        <v>3.459768778401239</v>
      </c>
    </row>
    <row r="46" spans="1:7" x14ac:dyDescent="0.3">
      <c r="A46">
        <v>4.1709639999999997</v>
      </c>
      <c r="B46">
        <v>1.8041039999999999</v>
      </c>
      <c r="C46">
        <v>13.96</v>
      </c>
      <c r="D46">
        <v>7.4224539500000004</v>
      </c>
      <c r="F46" s="1">
        <f>LN(beran_If18[[#This Row],[$I_\text{nas}/uA$]])</f>
        <v>2.0045097235274048</v>
      </c>
      <c r="G46" s="1">
        <f>(beran_If18[[#This Row],[Ua/V]])^(1/2)</f>
        <v>3.7363083384538811</v>
      </c>
    </row>
    <row r="47" spans="1:7" x14ac:dyDescent="0.3">
      <c r="A47">
        <v>4.1709399999999999</v>
      </c>
      <c r="B47">
        <v>1.804136</v>
      </c>
      <c r="C47">
        <v>15.96</v>
      </c>
      <c r="D47">
        <v>7.5766312600000001</v>
      </c>
      <c r="F47" s="1">
        <f>LN(beran_If18[[#This Row],[$I_\text{nas}/uA$]])</f>
        <v>2.0250686760661973</v>
      </c>
      <c r="G47" s="1">
        <f>(beran_If18[[#This Row],[Ua/V]])^(1/2)</f>
        <v>3.9949968710876358</v>
      </c>
    </row>
    <row r="48" spans="1:7" x14ac:dyDescent="0.3">
      <c r="A48">
        <v>4.1709540000000001</v>
      </c>
      <c r="B48">
        <v>1.8041180000000001</v>
      </c>
      <c r="C48">
        <v>17.553999999999998</v>
      </c>
      <c r="D48">
        <v>7.8287614100000003</v>
      </c>
      <c r="F48" s="1">
        <f>LN(beran_If18[[#This Row],[$I_\text{nas}/uA$]])</f>
        <v>2.0578043123049308</v>
      </c>
      <c r="G48" s="1">
        <f>(beran_If18[[#This Row],[Ua/V]])^(1/2)</f>
        <v>4.189749395846964</v>
      </c>
    </row>
    <row r="49" spans="1:7" x14ac:dyDescent="0.3">
      <c r="A49">
        <v>4.1709440000000004</v>
      </c>
      <c r="B49">
        <v>1.804065</v>
      </c>
      <c r="C49">
        <v>19.95</v>
      </c>
      <c r="D49">
        <v>7.9927931599999997</v>
      </c>
      <c r="F49" s="1">
        <f>LN(beran_If18[[#This Row],[$I_\text{nas}/uA$]])</f>
        <v>2.0785402806661124</v>
      </c>
      <c r="G49" s="1">
        <f>(beran_If18[[#This Row],[Ua/V]])^(1/2)</f>
        <v>4.466542286825459</v>
      </c>
    </row>
    <row r="50" spans="1:7" x14ac:dyDescent="0.3">
      <c r="A50">
        <v>4.1709540000000001</v>
      </c>
      <c r="B50">
        <v>1.804182</v>
      </c>
      <c r="C50">
        <v>24.047999999999998</v>
      </c>
      <c r="D50">
        <v>8.5321788200000004</v>
      </c>
      <c r="F50" s="1">
        <f>LN(beran_If18[[#This Row],[$I_\text{nas}/uA$]])</f>
        <v>2.1438447591330263</v>
      </c>
      <c r="G50" s="1">
        <f>(beran_If18[[#This Row],[Ua/V]])^(1/2)</f>
        <v>4.9038760180086118</v>
      </c>
    </row>
    <row r="51" spans="1:7" x14ac:dyDescent="0.3">
      <c r="A51">
        <v>4.1709500000000004</v>
      </c>
      <c r="B51">
        <v>1.8041149999999999</v>
      </c>
      <c r="C51">
        <v>30.052</v>
      </c>
      <c r="D51">
        <v>8.928153</v>
      </c>
      <c r="F51" s="1">
        <f>LN(beran_If18[[#This Row],[$I_\text{nas}/uA$]])</f>
        <v>2.1892095425888911</v>
      </c>
      <c r="G51" s="1">
        <f>(beran_If18[[#This Row],[Ua/V]])^(1/2)</f>
        <v>5.4819704486616851</v>
      </c>
    </row>
    <row r="52" spans="1:7" x14ac:dyDescent="0.3">
      <c r="A52">
        <v>4.1709189999999996</v>
      </c>
      <c r="B52">
        <v>1.8041149999999999</v>
      </c>
      <c r="C52">
        <v>40</v>
      </c>
      <c r="D52">
        <v>9.2992416000000002</v>
      </c>
      <c r="F52" s="1">
        <f>LN(beran_If18[[#This Row],[$I_\text{nas}/uA$]])</f>
        <v>2.2299328484468628</v>
      </c>
      <c r="G52" s="1">
        <f>(beran_If18[[#This Row],[Ua/V]])^(1/2)</f>
        <v>6.324555320336759</v>
      </c>
    </row>
    <row r="53" spans="1:7" x14ac:dyDescent="0.3">
      <c r="A53">
        <v>4.170947</v>
      </c>
      <c r="B53">
        <v>1.804154</v>
      </c>
      <c r="C53">
        <v>55.92</v>
      </c>
      <c r="D53">
        <v>9.5721562000000002</v>
      </c>
      <c r="F53" s="1">
        <f>LN(beran_If18[[#This Row],[$I_\text{nas}/uA$]])</f>
        <v>2.2588584883417333</v>
      </c>
      <c r="G53" s="1">
        <f>(beran_If18[[#This Row],[Ua/V]])^(1/2)</f>
        <v>7.4779676383359668</v>
      </c>
    </row>
    <row r="54" spans="1:7" x14ac:dyDescent="0.3">
      <c r="A54">
        <v>4.1709820000000004</v>
      </c>
      <c r="B54">
        <v>1.8041469999999999</v>
      </c>
      <c r="C54">
        <v>79.8</v>
      </c>
      <c r="D54">
        <v>9.7050079799999995</v>
      </c>
      <c r="F54" s="1">
        <f>LN(beran_If18[[#This Row],[$I_\text{nas}/uA$]])</f>
        <v>2.2726420388772044</v>
      </c>
      <c r="G54" s="1">
        <f>(beran_If18[[#This Row],[Ua/V]])^(1/2)</f>
        <v>8.9330845736509179</v>
      </c>
    </row>
    <row r="55" spans="1:7" x14ac:dyDescent="0.3">
      <c r="A55">
        <v>4.1710229999999999</v>
      </c>
      <c r="B55">
        <v>1.804111</v>
      </c>
      <c r="C55">
        <v>99.8</v>
      </c>
      <c r="D55">
        <v>10.0566131</v>
      </c>
      <c r="F55" s="1">
        <f>LN(beran_If18[[#This Row],[$I_\text{nas}/uA$]])</f>
        <v>2.3082304380054128</v>
      </c>
      <c r="G55" s="1">
        <f>(beran_If18[[#This Row],[Ua/V]])^(1/2)</f>
        <v>9.9899949949937419</v>
      </c>
    </row>
    <row r="56" spans="1:7" x14ac:dyDescent="0.3">
      <c r="A56">
        <v>4.1708920000000003</v>
      </c>
      <c r="B56">
        <v>1.804136</v>
      </c>
      <c r="C56">
        <v>115.72</v>
      </c>
      <c r="D56">
        <v>10.142406599999999</v>
      </c>
      <c r="F56" s="1">
        <f>LN(beran_If18[[#This Row],[$I_\text{nas}/uA$]])</f>
        <v>2.3167253072811071</v>
      </c>
      <c r="G56" s="1">
        <f>(beran_If18[[#This Row],[Ua/V]])^(1/2)</f>
        <v>10.757323087088162</v>
      </c>
    </row>
    <row r="57" spans="1:7" x14ac:dyDescent="0.3">
      <c r="A57">
        <v>4.1708920000000003</v>
      </c>
      <c r="B57">
        <v>1.8041389999999999</v>
      </c>
      <c r="C57">
        <v>139.6</v>
      </c>
      <c r="D57">
        <v>10.349142799999999</v>
      </c>
      <c r="F57" s="1">
        <f>LN(beran_If18[[#This Row],[$I_\text{nas}/uA$]])</f>
        <v>2.3369036950254696</v>
      </c>
      <c r="G57" s="1">
        <f>(beran_If18[[#This Row],[Ua/V]])^(1/2)</f>
        <v>11.815244390193543</v>
      </c>
    </row>
    <row r="58" spans="1:7" x14ac:dyDescent="0.3">
      <c r="A58">
        <v>4.1710029999999998</v>
      </c>
      <c r="B58">
        <v>1.8041290000000001</v>
      </c>
      <c r="C58">
        <v>159.58000000000001</v>
      </c>
      <c r="D58">
        <v>10.4289393</v>
      </c>
      <c r="F58" s="1">
        <f>LN(beran_If18[[#This Row],[$I_\text{nas}/uA$]])</f>
        <v>2.3445845668133831</v>
      </c>
      <c r="G58" s="1">
        <f>(beran_If18[[#This Row],[Ua/V]])^(1/2)</f>
        <v>12.632497773599646</v>
      </c>
    </row>
    <row r="59" spans="1:7" x14ac:dyDescent="0.3">
      <c r="A59">
        <v>4.1709709999999998</v>
      </c>
      <c r="B59">
        <v>1.8041750000000001</v>
      </c>
      <c r="C59">
        <v>179.5</v>
      </c>
      <c r="D59">
        <v>10.5093111</v>
      </c>
      <c r="F59" s="1">
        <f>LN(beran_If18[[#This Row],[$I_\text{nas}/uA$]])</f>
        <v>2.3522616356425528</v>
      </c>
      <c r="G59" s="1">
        <f>(beran_If18[[#This Row],[Ua/V]])^(1/2)</f>
        <v>13.397761006974262</v>
      </c>
    </row>
    <row r="60" spans="1:7" x14ac:dyDescent="0.3">
      <c r="A60">
        <v>4.1709370000000003</v>
      </c>
      <c r="B60">
        <v>1.804168</v>
      </c>
      <c r="C60">
        <v>195.42</v>
      </c>
      <c r="D60">
        <v>10.5836206</v>
      </c>
      <c r="F60" s="1">
        <f>LN(beran_If18[[#This Row],[$I_\text{nas}/uA$]])</f>
        <v>2.3593075796093048</v>
      </c>
      <c r="G60" s="1">
        <f>(beran_If18[[#This Row],[Ua/V]])^(1/2)</f>
        <v>13.979270367225894</v>
      </c>
    </row>
    <row r="61" spans="1:7" x14ac:dyDescent="0.3">
      <c r="A61">
        <v>4.1708920000000003</v>
      </c>
      <c r="B61">
        <v>1.8041609999999999</v>
      </c>
      <c r="C61">
        <v>219.3</v>
      </c>
      <c r="D61">
        <v>10.650093</v>
      </c>
      <c r="F61" s="1">
        <f>LN(beran_If18[[#This Row],[$I_\text{nas}/uA$]])</f>
        <v>2.3655686245116732</v>
      </c>
      <c r="G61" s="1">
        <f>(beran_If18[[#This Row],[Ua/V]])^(1/2)</f>
        <v>14.808781178746615</v>
      </c>
    </row>
    <row r="62" spans="1:7" x14ac:dyDescent="0.3">
      <c r="A62">
        <v>4.170839</v>
      </c>
      <c r="B62">
        <v>1.804217</v>
      </c>
      <c r="C62">
        <v>239.2</v>
      </c>
      <c r="D62">
        <v>10.7100788</v>
      </c>
      <c r="F62" s="1">
        <f>LN(beran_If18[[#This Row],[$I_\text{nas}/uA$]])</f>
        <v>2.371185242042301</v>
      </c>
      <c r="G62" s="1">
        <f>(beran_If18[[#This Row],[Ua/V]])^(1/2)</f>
        <v>15.466091943344964</v>
      </c>
    </row>
    <row r="63" spans="1:7" x14ac:dyDescent="0.3">
      <c r="A63">
        <v>4.1708249999999998</v>
      </c>
      <c r="B63">
        <v>1.8040860000000001</v>
      </c>
      <c r="C63">
        <v>259.2</v>
      </c>
      <c r="D63">
        <v>10.768024</v>
      </c>
      <c r="F63" s="1">
        <f>LN(beran_If18[[#This Row],[$I_\text{nas}/uA$]])</f>
        <v>2.3765810017260396</v>
      </c>
      <c r="G63" s="1">
        <f>(beran_If18[[#This Row],[Ua/V]])^(1/2)</f>
        <v>16.099689437998485</v>
      </c>
    </row>
    <row r="64" spans="1:7" x14ac:dyDescent="0.3">
      <c r="A64">
        <v>4.1707840000000003</v>
      </c>
      <c r="B64">
        <v>1.8042100000000001</v>
      </c>
      <c r="C64">
        <v>279.10000000000002</v>
      </c>
      <c r="D64">
        <v>10.825752899999999</v>
      </c>
      <c r="F64" s="1">
        <f>LN(beran_If18[[#This Row],[$I_\text{nas}/uA$]])</f>
        <v>2.3819278234329762</v>
      </c>
      <c r="G64" s="1">
        <f>(beran_If18[[#This Row],[Ua/V]])^(1/2)</f>
        <v>16.706286242010819</v>
      </c>
    </row>
    <row r="65" spans="1:7" x14ac:dyDescent="0.3">
      <c r="A65">
        <v>4.1708670000000003</v>
      </c>
      <c r="B65">
        <v>1.8041039999999999</v>
      </c>
      <c r="C65">
        <v>299</v>
      </c>
      <c r="D65">
        <v>10.8769312</v>
      </c>
      <c r="F65" s="1">
        <f>LN(beran_If18[[#This Row],[$I_\text{nas}/uA$]])</f>
        <v>2.3866441428181955</v>
      </c>
      <c r="G65" s="1">
        <f>(beran_If18[[#This Row],[Ua/V]])^(1/2)</f>
        <v>17.291616465790582</v>
      </c>
    </row>
    <row r="66" spans="1:7" x14ac:dyDescent="0.3">
      <c r="A66">
        <v>4.1708850000000002</v>
      </c>
      <c r="B66">
        <v>1.804076</v>
      </c>
      <c r="C66">
        <v>318.89999999999998</v>
      </c>
      <c r="D66">
        <v>10.9252728</v>
      </c>
      <c r="F66" s="1">
        <f>LN(beran_If18[[#This Row],[$I_\text{nas}/uA$]])</f>
        <v>2.3910787109216187</v>
      </c>
      <c r="G66" s="1">
        <f>(beran_If18[[#This Row],[Ua/V]])^(1/2)</f>
        <v>17.85777141750896</v>
      </c>
    </row>
    <row r="67" spans="1:7" x14ac:dyDescent="0.3">
      <c r="A67">
        <v>4.1707599999999996</v>
      </c>
      <c r="B67">
        <v>1.8041320000000001</v>
      </c>
      <c r="C67">
        <v>338.8</v>
      </c>
      <c r="D67">
        <v>10.973106100000001</v>
      </c>
      <c r="F67" s="1">
        <f>LN(beran_If18[[#This Row],[$I_\text{nas}/uA$]])</f>
        <v>2.3954473791499229</v>
      </c>
      <c r="G67" s="1">
        <f>(beran_If18[[#This Row],[Ua/V]])^(1/2)</f>
        <v>18.406520583749661</v>
      </c>
    </row>
    <row r="68" spans="1:7" x14ac:dyDescent="0.3">
      <c r="A68">
        <v>4.1706099999999999</v>
      </c>
      <c r="B68">
        <v>1.80409</v>
      </c>
      <c r="C68">
        <v>358.8</v>
      </c>
      <c r="D68">
        <v>11.013966399999999</v>
      </c>
      <c r="F68" s="1">
        <f>LN(beran_If18[[#This Row],[$I_\text{nas}/uA$]])</f>
        <v>2.3991641401728434</v>
      </c>
      <c r="G68" s="1">
        <f>(beran_If18[[#This Row],[Ua/V]])^(1/2)</f>
        <v>18.942016788082519</v>
      </c>
    </row>
    <row r="69" spans="1:7" x14ac:dyDescent="0.3">
      <c r="A69">
        <v>4.1705059999999996</v>
      </c>
      <c r="B69">
        <v>1.804076</v>
      </c>
      <c r="C69">
        <v>374.7</v>
      </c>
      <c r="D69">
        <v>11.0574254</v>
      </c>
      <c r="F69" s="1">
        <f>LN(beran_If18[[#This Row],[$I_\text{nas}/uA$]])</f>
        <v>2.4031021841854727</v>
      </c>
      <c r="G69" s="1">
        <f>(beran_If18[[#This Row],[Ua/V]])^(1/2)</f>
        <v>19.357169214531343</v>
      </c>
    </row>
    <row r="70" spans="1:7" x14ac:dyDescent="0.3">
      <c r="A70">
        <v>4.170426</v>
      </c>
      <c r="B70">
        <v>1.804111</v>
      </c>
      <c r="C70">
        <v>399</v>
      </c>
      <c r="D70">
        <v>11.0976122</v>
      </c>
      <c r="F70" s="1">
        <f>LN(beran_If18[[#This Row],[$I_\text{nas}/uA$]])</f>
        <v>2.4067299680601657</v>
      </c>
      <c r="G70" s="1">
        <f>(beran_If18[[#This Row],[Ua/V]])^(1/2)</f>
        <v>19.974984355438178</v>
      </c>
    </row>
    <row r="71" spans="1:7" x14ac:dyDescent="0.3">
      <c r="A71">
        <v>4.1704400000000001</v>
      </c>
      <c r="B71">
        <v>1.804065</v>
      </c>
      <c r="C71">
        <v>415</v>
      </c>
      <c r="D71">
        <v>11.1385849</v>
      </c>
      <c r="F71" s="1">
        <f>LN(beran_If18[[#This Row],[$I_\text{nas}/uA$]])</f>
        <v>2.4104151977049919</v>
      </c>
      <c r="G71" s="1">
        <f>(beran_If18[[#This Row],[Ua/V]])^(1/2)</f>
        <v>20.371548787463361</v>
      </c>
    </row>
    <row r="72" spans="1:7" x14ac:dyDescent="0.3">
      <c r="A72">
        <v>4.1704650000000001</v>
      </c>
      <c r="B72">
        <v>1.8040579999999999</v>
      </c>
      <c r="C72">
        <v>439</v>
      </c>
      <c r="D72">
        <v>11.1725543</v>
      </c>
      <c r="F72" s="1">
        <f>LN(beran_If18[[#This Row],[$I_\text{nas}/uA$]])</f>
        <v>2.413460261961343</v>
      </c>
      <c r="G72" s="1">
        <f>(beran_If18[[#This Row],[Ua/V]])^(1/2)</f>
        <v>20.952326839756964</v>
      </c>
    </row>
    <row r="73" spans="1:7" x14ac:dyDescent="0.3">
      <c r="A73">
        <v>4.1705969999999999</v>
      </c>
      <c r="B73">
        <v>1.804122</v>
      </c>
      <c r="C73">
        <v>459</v>
      </c>
      <c r="D73">
        <v>11.208206300000001</v>
      </c>
      <c r="F73" s="1">
        <f>LN(beran_If18[[#This Row],[$I_\text{nas}/uA$]])</f>
        <v>2.4166462153606689</v>
      </c>
      <c r="G73" s="1">
        <f>(beran_If18[[#This Row],[Ua/V]])^(1/2)</f>
        <v>21.42428528562855</v>
      </c>
    </row>
    <row r="74" spans="1:7" x14ac:dyDescent="0.3">
      <c r="A74">
        <f>AVERAGE(A2:A73)</f>
        <v>4.1710470833333328</v>
      </c>
      <c r="B74">
        <f>AVERAGE(B2:B73)</f>
        <v>1.8041372083333331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66E62-517E-4411-903E-EE979BDDE5AC}">
  <dimension ref="A1:R73"/>
  <sheetViews>
    <sheetView workbookViewId="0">
      <selection activeCell="J3" sqref="J3"/>
    </sheetView>
  </sheetViews>
  <sheetFormatPr defaultRowHeight="14.4" x14ac:dyDescent="0.3"/>
  <cols>
    <col min="1" max="1" width="10.21875" customWidth="1"/>
    <col min="2" max="2" width="10.109375" customWidth="1"/>
    <col min="3" max="3" width="8.77734375" customWidth="1"/>
    <col min="4" max="4" width="12.109375" customWidth="1"/>
    <col min="8" max="8" width="12.44140625" bestFit="1" customWidth="1"/>
    <col min="10" max="10" width="12" bestFit="1" customWidth="1"/>
    <col min="11" max="11" width="12.5546875" customWidth="1"/>
    <col min="16" max="16" width="11" bestFit="1" customWidth="1"/>
  </cols>
  <sheetData>
    <row r="1" spans="1:18" x14ac:dyDescent="0.3">
      <c r="A1" t="s">
        <v>0</v>
      </c>
      <c r="B1" t="s">
        <v>1</v>
      </c>
      <c r="C1" t="s">
        <v>2</v>
      </c>
      <c r="D1" t="s">
        <v>3</v>
      </c>
      <c r="E1" t="s">
        <v>15</v>
      </c>
      <c r="F1" t="s">
        <v>11</v>
      </c>
      <c r="G1" t="s">
        <v>17</v>
      </c>
      <c r="H1" t="s">
        <v>40</v>
      </c>
      <c r="I1" t="s">
        <v>42</v>
      </c>
      <c r="J1" t="s">
        <v>44</v>
      </c>
      <c r="K1" t="s">
        <v>16</v>
      </c>
      <c r="L1" t="s">
        <v>8</v>
      </c>
      <c r="M1" t="s">
        <v>9</v>
      </c>
      <c r="O1" s="12" t="s">
        <v>15</v>
      </c>
      <c r="P1" s="12"/>
      <c r="Q1" s="12"/>
      <c r="R1" s="12"/>
    </row>
    <row r="2" spans="1:18" x14ac:dyDescent="0.3">
      <c r="A2">
        <v>4.5471659999999998</v>
      </c>
      <c r="B2">
        <v>1.904274</v>
      </c>
      <c r="C2">
        <v>-19.95</v>
      </c>
      <c r="D2">
        <v>2.5877807500000001E-3</v>
      </c>
      <c r="E2">
        <f>(A60/B60)/(4.98*10^(-8)*4.83*10^(-3)*7.76*10^6)-1/(4.83*10^(-3))+273.15</f>
        <v>1342.6415058602183</v>
      </c>
      <c r="F2">
        <f>LN(beran_If19[[#This Row],[Ia/uA]])</f>
        <v>-5.9569546238611517</v>
      </c>
      <c r="G2" t="e">
        <f>(beran_If19[[#This Row],[Ua/V]])^(1/2)</f>
        <v>#NUM!</v>
      </c>
      <c r="H2">
        <f>((500)^(1/2))*(1.0837*10^(-2))*10^(-6)+(3.15*10^(-6))</f>
        <v>3.3923226867216522E-6</v>
      </c>
      <c r="I2">
        <f>H2-3.1504319*10^(-6)</f>
        <v>2.4189078672165216E-7</v>
      </c>
      <c r="J2">
        <f>EXP((((1.602*10^(-19))^3)/(4*PI()*(8.854*10^(-12))*(1.380648*10^(-23))^2*(1342.642)^2))^(1/2)*(1248234.8^(1/2))+H26)</f>
        <v>33.676673796423579</v>
      </c>
      <c r="K2" t="s">
        <v>12</v>
      </c>
      <c r="L2">
        <f>5.3587057637964*10^(-1)</f>
        <v>0.53587057637963997</v>
      </c>
      <c r="M2">
        <f>1.1453704341275*10^(-1)</f>
        <v>0.11453704341275001</v>
      </c>
      <c r="O2" t="s">
        <v>7</v>
      </c>
      <c r="P2" t="s">
        <v>15</v>
      </c>
    </row>
    <row r="3" spans="1:18" x14ac:dyDescent="0.3">
      <c r="A3">
        <v>4.5470930000000003</v>
      </c>
      <c r="B3">
        <v>1.9042289999999999</v>
      </c>
      <c r="C3">
        <v>-14.96</v>
      </c>
      <c r="D3">
        <v>1.9166935899999999E-3</v>
      </c>
      <c r="F3">
        <f>LN(beran_If19[[#This Row],[Ia/uA]])</f>
        <v>-6.2571536659831235</v>
      </c>
      <c r="G3" t="e">
        <f>(beran_If19[[#This Row],[Ua/V]])^(1/2)</f>
        <v>#NUM!</v>
      </c>
      <c r="J3">
        <f>J2-I26</f>
        <v>10.330527005472071</v>
      </c>
      <c r="K3" t="s">
        <v>13</v>
      </c>
      <c r="L3" s="2">
        <f>1.6021766208*10^(-19)</f>
        <v>1.6021766207999999E-19</v>
      </c>
      <c r="O3" s="9">
        <v>0.19444675518887999</v>
      </c>
      <c r="P3" s="10">
        <f>L3/(L4*O3)</f>
        <v>59679.689944574828</v>
      </c>
    </row>
    <row r="4" spans="1:18" x14ac:dyDescent="0.3">
      <c r="A4">
        <v>4.545617</v>
      </c>
      <c r="B4">
        <v>1.904299</v>
      </c>
      <c r="C4">
        <v>-9.9700000000000006</v>
      </c>
      <c r="D4">
        <v>7.0425733999999996E-4</v>
      </c>
      <c r="F4">
        <f>LN(beran_If19[[#This Row],[Ia/uA]])</f>
        <v>-7.2583667288268909</v>
      </c>
      <c r="G4" t="e">
        <f>(beran_If19[[#This Row],[Ua/V]])^(1/2)</f>
        <v>#NUM!</v>
      </c>
      <c r="K4" t="s">
        <v>14</v>
      </c>
      <c r="L4">
        <f>1.38064852*10^(-23)</f>
        <v>1.3806485200000002E-23</v>
      </c>
    </row>
    <row r="5" spans="1:18" x14ac:dyDescent="0.3">
      <c r="A5">
        <v>4.5434679999999998</v>
      </c>
      <c r="B5">
        <v>1.9043239999999999</v>
      </c>
      <c r="C5">
        <v>-5.9859999999999998</v>
      </c>
      <c r="D5">
        <v>3.2602901900000001E-4</v>
      </c>
      <c r="F5">
        <f>LN(beran_If19[[#This Row],[Ia/uA]])</f>
        <v>-8.0285241652217731</v>
      </c>
      <c r="G5" t="e">
        <f>(beran_If19[[#This Row],[Ua/V]])^(1/2)</f>
        <v>#NUM!</v>
      </c>
      <c r="K5" t="s">
        <v>15</v>
      </c>
      <c r="L5" s="4">
        <f>L3/(L4*L2)</f>
        <v>21655.456694042718</v>
      </c>
    </row>
    <row r="6" spans="1:18" x14ac:dyDescent="0.3">
      <c r="A6">
        <v>4.5423530000000003</v>
      </c>
      <c r="B6">
        <v>1.9043559999999999</v>
      </c>
      <c r="C6">
        <v>-4.1900000000000004</v>
      </c>
      <c r="D6">
        <v>7.6007756900000001E-2</v>
      </c>
      <c r="F6">
        <f>LN(beran_If19[[#This Row],[Ia/uA]])</f>
        <v>-2.5769198794303456</v>
      </c>
      <c r="G6" t="e">
        <f>(beran_If19[[#This Row],[Ua/V]])^(1/2)</f>
        <v>#NUM!</v>
      </c>
    </row>
    <row r="7" spans="1:18" x14ac:dyDescent="0.3">
      <c r="A7">
        <v>4.5423980000000004</v>
      </c>
      <c r="B7">
        <v>1.9043490000000001</v>
      </c>
      <c r="C7">
        <v>-3.59</v>
      </c>
      <c r="D7">
        <v>0.36403311900000002</v>
      </c>
      <c r="F7">
        <f>LN(beran_If19[[#This Row],[Ia/uA]])</f>
        <v>-1.010510429220659</v>
      </c>
      <c r="G7" t="e">
        <f>(beran_If19[[#This Row],[Ua/V]])^(1/2)</f>
        <v>#NUM!</v>
      </c>
    </row>
    <row r="8" spans="1:18" x14ac:dyDescent="0.3">
      <c r="A8">
        <v>4.5423289999999996</v>
      </c>
      <c r="B8">
        <v>1.904444</v>
      </c>
      <c r="C8">
        <v>-3.19</v>
      </c>
      <c r="D8">
        <v>0.89619670299999998</v>
      </c>
      <c r="F8">
        <f>LN(beran_If19[[#This Row],[Ia/uA]])</f>
        <v>-0.10959535550318594</v>
      </c>
      <c r="G8" t="e">
        <f>(beran_If19[[#This Row],[Ua/V]])^(1/2)</f>
        <v>#NUM!</v>
      </c>
      <c r="K8" t="s">
        <v>22</v>
      </c>
      <c r="L8" t="s">
        <v>23</v>
      </c>
      <c r="M8" t="s">
        <v>24</v>
      </c>
    </row>
    <row r="9" spans="1:18" x14ac:dyDescent="0.3">
      <c r="A9">
        <v>4.542249</v>
      </c>
      <c r="B9">
        <v>1.9043589999999999</v>
      </c>
      <c r="C9">
        <v>-2.79</v>
      </c>
      <c r="D9">
        <v>1.14709682</v>
      </c>
      <c r="F9">
        <f>LN(beran_If19[[#This Row],[Ia/uA]])</f>
        <v>0.13723424609306523</v>
      </c>
      <c r="G9" t="e">
        <f>(beran_If19[[#This Row],[Ua/V]])^(1/2)</f>
        <v>#NUM!</v>
      </c>
      <c r="K9" t="s">
        <v>18</v>
      </c>
      <c r="L9">
        <v>3.1504319508381999</v>
      </c>
      <c r="M9">
        <v>2.7210593364549999E-2</v>
      </c>
    </row>
    <row r="10" spans="1:18" x14ac:dyDescent="0.3">
      <c r="A10">
        <v>4.5418950000000002</v>
      </c>
      <c r="B10">
        <v>1.90438</v>
      </c>
      <c r="C10">
        <v>-2.1930000000000001</v>
      </c>
      <c r="D10">
        <v>2.41092781</v>
      </c>
      <c r="F10">
        <f>LN(beran_If19[[#This Row],[Ia/uA]])</f>
        <v>0.88001165681795745</v>
      </c>
      <c r="G10" t="e">
        <f>(beran_If19[[#This Row],[Ua/V]])^(1/2)</f>
        <v>#NUM!</v>
      </c>
      <c r="K10" t="s">
        <v>25</v>
      </c>
      <c r="L10">
        <v>3.373041653</v>
      </c>
    </row>
    <row r="11" spans="1:18" x14ac:dyDescent="0.3">
      <c r="A11">
        <v>4.5416800000000004</v>
      </c>
      <c r="B11">
        <v>1.904366</v>
      </c>
      <c r="C11">
        <v>-1.7944</v>
      </c>
      <c r="D11">
        <v>3.9826485300000001</v>
      </c>
      <c r="F11">
        <f>LN(beran_If19[[#This Row],[Ia/uA]])</f>
        <v>1.3819470577751503</v>
      </c>
      <c r="G11" t="e">
        <f>(beran_If19[[#This Row],[Ua/V]])^(1/2)</f>
        <v>#NUM!</v>
      </c>
      <c r="K11" t="s">
        <v>19</v>
      </c>
    </row>
    <row r="12" spans="1:18" x14ac:dyDescent="0.3">
      <c r="A12">
        <v>4.5415539999999996</v>
      </c>
      <c r="B12">
        <v>1.9043699999999999</v>
      </c>
      <c r="C12">
        <v>-1.3158000000000001</v>
      </c>
      <c r="D12">
        <v>5.3070630899999998</v>
      </c>
      <c r="F12">
        <f>LN(beran_If19[[#This Row],[Ia/uA]])</f>
        <v>1.6690385918474526</v>
      </c>
      <c r="G12" t="e">
        <f>(beran_If19[[#This Row],[Ua/V]])^(1/2)</f>
        <v>#NUM!</v>
      </c>
      <c r="K12" t="s">
        <v>18</v>
      </c>
      <c r="L12">
        <f>EXP(L9)</f>
        <v>23.346146790951508</v>
      </c>
    </row>
    <row r="13" spans="1:18" x14ac:dyDescent="0.3">
      <c r="A13">
        <v>4.5414370000000002</v>
      </c>
      <c r="B13">
        <v>1.904317</v>
      </c>
      <c r="C13">
        <v>-0.79800000000000004</v>
      </c>
      <c r="D13">
        <v>6.6847692900000002</v>
      </c>
      <c r="F13">
        <f>LN(beran_If19[[#This Row],[Ia/uA]])</f>
        <v>1.8998316983652488</v>
      </c>
      <c r="G13" t="e">
        <f>(beran_If19[[#This Row],[Ua/V]])^(1/2)</f>
        <v>#NUM!</v>
      </c>
      <c r="K13" t="s">
        <v>25</v>
      </c>
      <c r="L13">
        <f>EXP(L10)</f>
        <v>29.16710849556225</v>
      </c>
    </row>
    <row r="14" spans="1:18" x14ac:dyDescent="0.3">
      <c r="A14">
        <v>4.5412660000000002</v>
      </c>
      <c r="B14">
        <v>1.9043699999999999</v>
      </c>
      <c r="C14">
        <v>-0.3992</v>
      </c>
      <c r="D14">
        <v>6.6835374200000004</v>
      </c>
      <c r="F14">
        <f>LN(beran_If19[[#This Row],[Ia/uA]])</f>
        <v>1.8996474012765885</v>
      </c>
      <c r="G14" t="e">
        <f>(beran_If19[[#This Row],[Ua/V]])^(1/2)</f>
        <v>#NUM!</v>
      </c>
      <c r="L14" s="3">
        <f>L13-L12</f>
        <v>5.8209617046107418</v>
      </c>
    </row>
    <row r="15" spans="1:18" x14ac:dyDescent="0.3">
      <c r="A15">
        <v>4.5409750000000004</v>
      </c>
      <c r="B15">
        <v>1.9043909999999999</v>
      </c>
      <c r="C15">
        <v>-4.7999999999999996E-3</v>
      </c>
      <c r="D15">
        <v>10.3452877</v>
      </c>
      <c r="F15">
        <f>LN(beran_If19[[#This Row],[Ia/uA]])</f>
        <v>2.3365311213472917</v>
      </c>
      <c r="G15" t="e">
        <f>(beran_If19[[#This Row],[Ua/V]])^(1/2)</f>
        <v>#NUM!</v>
      </c>
    </row>
    <row r="16" spans="1:18" x14ac:dyDescent="0.3">
      <c r="A16">
        <v>4.5409569999999997</v>
      </c>
      <c r="B16">
        <v>1.904423</v>
      </c>
      <c r="C16">
        <v>0.39900000000000002</v>
      </c>
      <c r="D16">
        <v>10.9165454</v>
      </c>
      <c r="F16" s="1">
        <f>LN(beran_If19[[#This Row],[Ia/uA]])</f>
        <v>2.3902795649545059</v>
      </c>
      <c r="G16" s="1">
        <f>(beran_If19[[#This Row],[Ua/V]])^(1/2)</f>
        <v>0.63166446789415032</v>
      </c>
    </row>
    <row r="17" spans="1:13" x14ac:dyDescent="0.3">
      <c r="A17">
        <v>4.5407659999999996</v>
      </c>
      <c r="B17">
        <v>1.904345</v>
      </c>
      <c r="C17">
        <v>0.79720000000000002</v>
      </c>
      <c r="D17">
        <v>11.868305400000001</v>
      </c>
      <c r="F17" s="1">
        <f>LN(beran_If19[[#This Row],[Ia/uA]])</f>
        <v>2.4738714351611866</v>
      </c>
      <c r="G17" s="1">
        <f>(beran_If19[[#This Row],[Ua/V]])^(1/2)</f>
        <v>0.8928605714219886</v>
      </c>
      <c r="K17" t="s">
        <v>20</v>
      </c>
      <c r="L17" t="s">
        <v>26</v>
      </c>
      <c r="M17" t="s">
        <v>27</v>
      </c>
    </row>
    <row r="18" spans="1:13" x14ac:dyDescent="0.3">
      <c r="A18">
        <v>4.5402040000000001</v>
      </c>
      <c r="B18">
        <v>1.9043909999999999</v>
      </c>
      <c r="C18">
        <v>1.196</v>
      </c>
      <c r="D18">
        <v>13.003161800000001</v>
      </c>
      <c r="F18" s="1">
        <f>LN(beran_If19[[#This Row],[Ia/uA]])</f>
        <v>2.5651925432740854</v>
      </c>
      <c r="G18" s="1">
        <f>(beran_If19[[#This Row],[Ua/V]])^(1/2)</f>
        <v>1.0936178491593853</v>
      </c>
      <c r="L18">
        <f>(((1.602*10^(-19))^3)/(4*3.14*(1.38*10^(-23))^2*8.854*10^(-12)*1072^2))^(1/2)*(12482)^(1/2)</f>
        <v>4.5919527059003457E-2</v>
      </c>
      <c r="M18">
        <f>L18*10^6</f>
        <v>45919.527059003456</v>
      </c>
    </row>
    <row r="19" spans="1:13" x14ac:dyDescent="0.3">
      <c r="A19">
        <v>4.5392590000000004</v>
      </c>
      <c r="B19">
        <v>1.9043589999999999</v>
      </c>
      <c r="C19">
        <v>1.595</v>
      </c>
      <c r="D19">
        <v>14.178634300000001</v>
      </c>
      <c r="F19" s="1">
        <f>LN(beran_If19[[#This Row],[Ia/uA]])</f>
        <v>2.6517362047590822</v>
      </c>
      <c r="G19" s="1">
        <f>(beran_If19[[#This Row],[Ua/V]])^(1/2)</f>
        <v>1.2629330940315089</v>
      </c>
    </row>
    <row r="20" spans="1:13" x14ac:dyDescent="0.3">
      <c r="A20">
        <v>4.5391139999999996</v>
      </c>
      <c r="B20">
        <v>1.9043950000000001</v>
      </c>
      <c r="C20">
        <v>1.9930000000000001</v>
      </c>
      <c r="D20">
        <v>14.974039599999999</v>
      </c>
      <c r="F20" s="1">
        <f>LN(beran_If19[[#This Row],[Ia/uA]])</f>
        <v>2.706318008388942</v>
      </c>
      <c r="G20" s="1">
        <f>(beran_If19[[#This Row],[Ua/V]])^(1/2)</f>
        <v>1.4117365193264642</v>
      </c>
    </row>
    <row r="21" spans="1:13" x14ac:dyDescent="0.3">
      <c r="A21">
        <v>4.5387979999999999</v>
      </c>
      <c r="B21">
        <v>1.9043490000000001</v>
      </c>
      <c r="C21">
        <v>2.3121999999999998</v>
      </c>
      <c r="D21">
        <v>15.792627899999999</v>
      </c>
      <c r="F21" s="1">
        <f>LN(beran_If19[[#This Row],[Ia/uA]])</f>
        <v>2.7595432425389905</v>
      </c>
      <c r="G21" s="1">
        <f>(beran_If19[[#This Row],[Ua/V]])^(1/2)</f>
        <v>1.5205919899828486</v>
      </c>
      <c r="K21" t="s">
        <v>15</v>
      </c>
    </row>
    <row r="22" spans="1:13" x14ac:dyDescent="0.3">
      <c r="A22">
        <v>4.5385229999999996</v>
      </c>
      <c r="B22">
        <v>1.9044369999999999</v>
      </c>
      <c r="C22">
        <v>2.79</v>
      </c>
      <c r="D22">
        <v>16.1585368</v>
      </c>
      <c r="F22" s="1">
        <f>LN(beran_If19[[#This Row],[Ia/uA]])</f>
        <v>2.7824485044390883</v>
      </c>
      <c r="G22" s="1">
        <f>(beran_If19[[#This Row],[Ua/V]])^(1/2)</f>
        <v>1.6703293088490065</v>
      </c>
      <c r="K22">
        <f>(A2/B2)/(4.98*10^(-8)*4.83*10^(-3)*7.76*10^6)-1/(4.83*10^(-3))</f>
        <v>1072.2629498350611</v>
      </c>
    </row>
    <row r="23" spans="1:13" x14ac:dyDescent="0.3">
      <c r="A23">
        <v>4.5381349999999996</v>
      </c>
      <c r="B23">
        <v>1.904352</v>
      </c>
      <c r="C23">
        <v>3.1890000000000001</v>
      </c>
      <c r="D23">
        <v>16.443195200000002</v>
      </c>
      <c r="F23" s="1">
        <f>LN(beran_If19[[#This Row],[Ia/uA]])</f>
        <v>2.7999117259746464</v>
      </c>
      <c r="G23" s="1">
        <f>(beran_If19[[#This Row],[Ua/V]])^(1/2)</f>
        <v>1.7857771417508961</v>
      </c>
    </row>
    <row r="24" spans="1:13" x14ac:dyDescent="0.3">
      <c r="A24">
        <v>4.5381169999999997</v>
      </c>
      <c r="B24">
        <v>1.9044049999999999</v>
      </c>
      <c r="C24">
        <v>3.5880000000000001</v>
      </c>
      <c r="D24">
        <v>16.7239073</v>
      </c>
      <c r="F24" s="1">
        <f>LN(beran_If19[[#This Row],[Ia/uA]])</f>
        <v>2.8168392705466436</v>
      </c>
      <c r="G24" s="1">
        <f>(beran_If19[[#This Row],[Ua/V]])^(1/2)</f>
        <v>1.8942016788082519</v>
      </c>
    </row>
    <row r="25" spans="1:13" x14ac:dyDescent="0.3">
      <c r="A25">
        <v>4.5379300000000002</v>
      </c>
      <c r="B25">
        <v>1.9044049999999999</v>
      </c>
      <c r="C25">
        <v>3.9064000000000001</v>
      </c>
      <c r="D25">
        <v>16.954036599999998</v>
      </c>
      <c r="F25" s="1">
        <f>LN(beran_If19[[#This Row],[Ia/uA]])</f>
        <v>2.8305059529664716</v>
      </c>
      <c r="G25" s="1">
        <f>(beran_If19[[#This Row],[Ua/V]])^(1/2)</f>
        <v>1.9764614845728716</v>
      </c>
      <c r="H25" t="s">
        <v>51</v>
      </c>
      <c r="I25" t="s">
        <v>41</v>
      </c>
      <c r="J25" t="s">
        <v>42</v>
      </c>
    </row>
    <row r="26" spans="1:13" x14ac:dyDescent="0.3">
      <c r="A26">
        <v>4.5374359999999996</v>
      </c>
      <c r="B26">
        <v>1.9045080000000001</v>
      </c>
      <c r="C26">
        <v>4.9880000000000004</v>
      </c>
      <c r="D26">
        <v>17.480769800000001</v>
      </c>
      <c r="F26" s="1">
        <f>LN(beran_If19[[#This Row],[Ia/uA]])</f>
        <v>2.8611014081593074</v>
      </c>
      <c r="G26" s="1">
        <f>(beran_If19[[#This Row],[Ua/V]])^(1/2)</f>
        <v>2.2333830840229809</v>
      </c>
      <c r="H26" s="14">
        <v>3.1504319508381999</v>
      </c>
      <c r="I26">
        <f>EXP(H26)</f>
        <v>23.346146790951508</v>
      </c>
      <c r="J26">
        <f>I28-I26</f>
        <v>6.4021231540551149</v>
      </c>
    </row>
    <row r="27" spans="1:13" x14ac:dyDescent="0.3">
      <c r="A27">
        <v>4.5376899999999996</v>
      </c>
      <c r="B27">
        <v>1.904363</v>
      </c>
      <c r="C27">
        <v>5.98</v>
      </c>
      <c r="D27">
        <v>17.884236300000001</v>
      </c>
      <c r="F27" s="1">
        <f>LN(beran_If19[[#This Row],[Ia/uA]])</f>
        <v>2.8839196712122011</v>
      </c>
      <c r="G27" s="1">
        <f>(beran_If19[[#This Row],[Ua/V]])^(1/2)</f>
        <v>2.4454038521274968</v>
      </c>
      <c r="H27" t="s">
        <v>52</v>
      </c>
      <c r="I27" t="s">
        <v>53</v>
      </c>
    </row>
    <row r="28" spans="1:13" x14ac:dyDescent="0.3">
      <c r="A28">
        <v>4.5375059999999996</v>
      </c>
      <c r="B28">
        <v>1.9043909999999999</v>
      </c>
      <c r="C28">
        <v>6.98</v>
      </c>
      <c r="D28">
        <v>18.247058500000001</v>
      </c>
      <c r="F28" s="1">
        <f>LN(beran_If19[[#This Row],[Ia/uA]])</f>
        <v>2.9040038889557258</v>
      </c>
      <c r="G28" s="1">
        <f>(beran_If19[[#This Row],[Ua/V]])^(1/2)</f>
        <v>2.6419689627245813</v>
      </c>
      <c r="H28" s="14">
        <f>(500)^(1/2)*(1.0837730730549*10^(-2))+(H26)</f>
        <v>3.3927709771916601</v>
      </c>
      <c r="I28">
        <f>EXP(H28)</f>
        <v>29.748269945006623</v>
      </c>
    </row>
    <row r="29" spans="1:13" x14ac:dyDescent="0.3">
      <c r="A29">
        <v>4.5373809999999999</v>
      </c>
      <c r="B29">
        <v>1.9043840000000001</v>
      </c>
      <c r="C29">
        <v>7.98</v>
      </c>
      <c r="D29">
        <v>18.588457200000001</v>
      </c>
      <c r="F29" s="1">
        <f>LN(beran_If19[[#This Row],[Ia/uA]])</f>
        <v>2.9225408074341224</v>
      </c>
      <c r="G29" s="1">
        <f>(beran_If19[[#This Row],[Ua/V]])^(1/2)</f>
        <v>2.824889378365107</v>
      </c>
    </row>
    <row r="30" spans="1:13" x14ac:dyDescent="0.3">
      <c r="A30">
        <v>4.53728</v>
      </c>
      <c r="B30">
        <v>1.904331</v>
      </c>
      <c r="C30">
        <v>8.98</v>
      </c>
      <c r="D30">
        <v>18.8866984</v>
      </c>
      <c r="F30" s="1">
        <f>LN(beran_If19[[#This Row],[Ia/uA]])</f>
        <v>2.9384578859305197</v>
      </c>
      <c r="G30" s="1">
        <f>(beran_If19[[#This Row],[Ua/V]])^(1/2)</f>
        <v>2.9966648127543394</v>
      </c>
    </row>
    <row r="31" spans="1:13" x14ac:dyDescent="0.3">
      <c r="A31">
        <v>4.5369539999999997</v>
      </c>
      <c r="B31">
        <v>1.9043559999999999</v>
      </c>
      <c r="C31">
        <v>9.9719999999999995</v>
      </c>
      <c r="D31">
        <v>19.204844900000001</v>
      </c>
      <c r="F31" s="1">
        <f>LN(beran_If19[[#This Row],[Ia/uA]])</f>
        <v>2.9551625857433876</v>
      </c>
      <c r="G31" s="1">
        <f>(beran_If19[[#This Row],[Ua/V]])^(1/2)</f>
        <v>3.1578473680657839</v>
      </c>
    </row>
    <row r="32" spans="1:13" x14ac:dyDescent="0.3">
      <c r="A32">
        <v>4.5364500000000003</v>
      </c>
      <c r="B32">
        <v>1.9044620000000001</v>
      </c>
      <c r="C32">
        <v>11.97</v>
      </c>
      <c r="D32">
        <v>19.8242753</v>
      </c>
      <c r="F32" s="1">
        <f>LN(beran_If19[[#This Row],[Ia/uA]])</f>
        <v>2.9869072119977855</v>
      </c>
      <c r="G32" s="1">
        <f>(beran_If19[[#This Row],[Ua/V]])^(1/2)</f>
        <v>3.459768778401239</v>
      </c>
    </row>
    <row r="33" spans="1:7" x14ac:dyDescent="0.3">
      <c r="A33">
        <v>4.5360339999999999</v>
      </c>
      <c r="B33">
        <v>1.904469</v>
      </c>
      <c r="C33">
        <v>13.561999999999999</v>
      </c>
      <c r="D33">
        <v>20.189031</v>
      </c>
      <c r="F33" s="1">
        <f>LN(beran_If19[[#This Row],[Ia/uA]])</f>
        <v>3.0051394371165308</v>
      </c>
      <c r="G33" s="1">
        <f>(beran_If19[[#This Row],[Ua/V]])^(1/2)</f>
        <v>3.6826620806150543</v>
      </c>
    </row>
    <row r="34" spans="1:7" x14ac:dyDescent="0.3">
      <c r="A34">
        <v>4.5360649999999998</v>
      </c>
      <c r="B34">
        <v>1.9043840000000001</v>
      </c>
      <c r="C34">
        <v>15.96</v>
      </c>
      <c r="D34">
        <v>21.033337499999998</v>
      </c>
      <c r="F34" s="1">
        <f>LN(beran_If19[[#This Row],[Ia/uA]])</f>
        <v>3.0461086789772946</v>
      </c>
      <c r="G34" s="1">
        <f>(beran_If19[[#This Row],[Ua/V]])^(1/2)</f>
        <v>3.9949968710876358</v>
      </c>
    </row>
    <row r="35" spans="1:7" x14ac:dyDescent="0.3">
      <c r="A35">
        <v>4.535787</v>
      </c>
      <c r="B35">
        <v>1.904366</v>
      </c>
      <c r="C35">
        <v>17.956</v>
      </c>
      <c r="D35">
        <v>21.666103400000001</v>
      </c>
      <c r="F35" s="1">
        <f>LN(beran_If19[[#This Row],[Ia/uA]])</f>
        <v>3.0757489839665246</v>
      </c>
      <c r="G35" s="1">
        <f>(beran_If19[[#This Row],[Ua/V]])^(1/2)</f>
        <v>4.2374520646256286</v>
      </c>
    </row>
    <row r="36" spans="1:7" x14ac:dyDescent="0.3">
      <c r="A36">
        <v>4.5357139999999996</v>
      </c>
      <c r="B36">
        <v>1.9044399999999999</v>
      </c>
      <c r="C36">
        <v>19.95</v>
      </c>
      <c r="D36">
        <v>22.373289400000001</v>
      </c>
      <c r="F36" s="1">
        <f>LN(beran_If19[[#This Row],[Ia/uA]])</f>
        <v>3.1078678098417143</v>
      </c>
      <c r="G36" s="1">
        <f>(beran_If19[[#This Row],[Ua/V]])^(1/2)</f>
        <v>4.466542286825459</v>
      </c>
    </row>
    <row r="37" spans="1:7" x14ac:dyDescent="0.3">
      <c r="A37">
        <v>4.5354890000000001</v>
      </c>
      <c r="B37">
        <v>1.9043699999999999</v>
      </c>
      <c r="C37">
        <v>30.02</v>
      </c>
      <c r="D37">
        <v>23.528042599999999</v>
      </c>
      <c r="F37" s="1">
        <f>LN(beran_If19[[#This Row],[Ia/uA]])</f>
        <v>3.1581930118586912</v>
      </c>
      <c r="G37" s="1">
        <f>(beran_If19[[#This Row],[Ua/V]])^(1/2)</f>
        <v>5.4790510127210901</v>
      </c>
    </row>
    <row r="38" spans="1:7" x14ac:dyDescent="0.3">
      <c r="A38">
        <v>4.5355860000000003</v>
      </c>
      <c r="B38">
        <v>1.904377</v>
      </c>
      <c r="C38">
        <v>49.9</v>
      </c>
      <c r="D38">
        <v>24.602042699999998</v>
      </c>
      <c r="F38" s="1">
        <f>LN(beran_If19[[#This Row],[Ia/uA]])</f>
        <v>3.2028294760763365</v>
      </c>
      <c r="G38" s="1">
        <f>(beran_If19[[#This Row],[Ua/V]])^(1/2)</f>
        <v>7.0639932049797443</v>
      </c>
    </row>
    <row r="39" spans="1:7" x14ac:dyDescent="0.3">
      <c r="A39">
        <v>4.5350789999999996</v>
      </c>
      <c r="B39">
        <v>1.9043840000000001</v>
      </c>
      <c r="C39">
        <v>69.8</v>
      </c>
      <c r="D39">
        <v>25.2847905</v>
      </c>
      <c r="F39" s="1">
        <f>LN(beran_If19[[#This Row],[Ia/uA]])</f>
        <v>3.2302030489528315</v>
      </c>
      <c r="G39" s="1">
        <f>(beran_If19[[#This Row],[Ua/V]])^(1/2)</f>
        <v>8.3546394296821695</v>
      </c>
    </row>
    <row r="40" spans="1:7" x14ac:dyDescent="0.3">
      <c r="A40">
        <v>4.5350510000000002</v>
      </c>
      <c r="B40">
        <v>1.904412</v>
      </c>
      <c r="C40">
        <v>89.8</v>
      </c>
      <c r="D40">
        <v>25.7051914</v>
      </c>
      <c r="F40" s="1">
        <f>LN(beran_If19[[#This Row],[Ia/uA]])</f>
        <v>3.246692971501921</v>
      </c>
      <c r="G40" s="1">
        <f>(beran_If19[[#This Row],[Ua/V]])^(1/2)</f>
        <v>9.4762861923857074</v>
      </c>
    </row>
    <row r="41" spans="1:7" x14ac:dyDescent="0.3">
      <c r="A41">
        <v>4.5347600000000003</v>
      </c>
      <c r="B41">
        <v>1.904377</v>
      </c>
      <c r="C41">
        <v>109.7</v>
      </c>
      <c r="D41">
        <v>26.250534200000001</v>
      </c>
      <c r="F41" s="1">
        <f>LN(beran_If19[[#This Row],[Ia/uA]])</f>
        <v>3.267686339306755</v>
      </c>
      <c r="G41" s="1">
        <f>(beran_If19[[#This Row],[Ua/V]])^(1/2)</f>
        <v>10.47377677822093</v>
      </c>
    </row>
    <row r="42" spans="1:7" x14ac:dyDescent="0.3">
      <c r="A42">
        <v>4.5345129999999996</v>
      </c>
      <c r="B42">
        <v>1.9044190000000001</v>
      </c>
      <c r="C42">
        <v>125.62</v>
      </c>
      <c r="D42">
        <v>26.526935600000002</v>
      </c>
      <c r="F42" s="1">
        <f>LN(beran_If19[[#This Row],[Ia/uA]])</f>
        <v>3.2781606545049664</v>
      </c>
      <c r="G42" s="1">
        <f>(beran_If19[[#This Row],[Ua/V]])^(1/2)</f>
        <v>11.208032833642129</v>
      </c>
    </row>
    <row r="43" spans="1:7" x14ac:dyDescent="0.3">
      <c r="A43">
        <v>4.5339749999999999</v>
      </c>
      <c r="B43">
        <v>1.904331</v>
      </c>
      <c r="C43">
        <v>149.5</v>
      </c>
      <c r="D43">
        <v>26.8550361</v>
      </c>
      <c r="F43" s="1">
        <f>LN(beran_If19[[#This Row],[Ia/uA]])</f>
        <v>3.2904533676127099</v>
      </c>
      <c r="G43" s="1">
        <f>(beran_If19[[#This Row],[Ua/V]])^(1/2)</f>
        <v>12.227019260637483</v>
      </c>
    </row>
    <row r="44" spans="1:7" x14ac:dyDescent="0.3">
      <c r="A44">
        <v>4.5339989999999997</v>
      </c>
      <c r="B44">
        <v>1.904469</v>
      </c>
      <c r="C44">
        <v>169.5</v>
      </c>
      <c r="D44">
        <v>27.130875899999999</v>
      </c>
      <c r="F44" s="1">
        <f>LN(beran_If19[[#This Row],[Ia/uA]])</f>
        <v>3.3006724114427151</v>
      </c>
      <c r="G44" s="1">
        <f>(beran_If19[[#This Row],[Ua/V]])^(1/2)</f>
        <v>13.019216566291536</v>
      </c>
    </row>
    <row r="45" spans="1:7" x14ac:dyDescent="0.3">
      <c r="A45">
        <v>4.5335859999999997</v>
      </c>
      <c r="B45">
        <v>1.904377</v>
      </c>
      <c r="C45">
        <v>185.42</v>
      </c>
      <c r="D45">
        <v>27.3604986</v>
      </c>
      <c r="F45" s="1">
        <f>LN(beran_If19[[#This Row],[Ia/uA]])</f>
        <v>3.3091003162725108</v>
      </c>
      <c r="G45" s="1">
        <f>(beran_If19[[#This Row],[Ua/V]])^(1/2)</f>
        <v>13.616901262769</v>
      </c>
    </row>
    <row r="46" spans="1:7" x14ac:dyDescent="0.3">
      <c r="A46">
        <v>4.5336100000000004</v>
      </c>
      <c r="B46">
        <v>1.904331</v>
      </c>
      <c r="C46">
        <v>209.3</v>
      </c>
      <c r="D46">
        <v>27.568357599999999</v>
      </c>
      <c r="F46" s="1">
        <f>LN(beran_If19[[#This Row],[Ia/uA]])</f>
        <v>3.3166686512626744</v>
      </c>
      <c r="G46" s="1">
        <f>(beran_If19[[#This Row],[Ua/V]])^(1/2)</f>
        <v>14.467204291085407</v>
      </c>
    </row>
    <row r="47" spans="1:7" x14ac:dyDescent="0.3">
      <c r="A47">
        <v>4.5335299999999998</v>
      </c>
      <c r="B47">
        <v>1.9043909999999999</v>
      </c>
      <c r="C47">
        <v>229.2</v>
      </c>
      <c r="D47">
        <v>27.757303799999999</v>
      </c>
      <c r="F47" s="1">
        <f>LN(beran_If19[[#This Row],[Ia/uA]])</f>
        <v>3.3234990055613998</v>
      </c>
      <c r="G47" s="1">
        <f>(beran_If19[[#This Row],[Ua/V]])^(1/2)</f>
        <v>15.139352694220449</v>
      </c>
    </row>
    <row r="48" spans="1:7" x14ac:dyDescent="0.3">
      <c r="A48">
        <v>4.5334779999999997</v>
      </c>
      <c r="B48">
        <v>1.904377</v>
      </c>
      <c r="C48">
        <v>249.2</v>
      </c>
      <c r="D48">
        <v>27.9219662</v>
      </c>
      <c r="F48" s="1">
        <f>LN(beran_If19[[#This Row],[Ia/uA]])</f>
        <v>3.3294136980507174</v>
      </c>
      <c r="G48" s="1">
        <f>(beran_If19[[#This Row],[Ua/V]])^(1/2)</f>
        <v>15.786069808536892</v>
      </c>
    </row>
    <row r="49" spans="1:7" x14ac:dyDescent="0.3">
      <c r="A49">
        <v>4.5335260000000002</v>
      </c>
      <c r="B49">
        <v>1.9044019999999999</v>
      </c>
      <c r="C49">
        <v>269.10000000000002</v>
      </c>
      <c r="D49">
        <v>28.0698647</v>
      </c>
      <c r="F49" s="1">
        <f>LN(beran_If19[[#This Row],[Ia/uA]])</f>
        <v>3.334696570269549</v>
      </c>
      <c r="G49" s="1">
        <f>(beran_If19[[#This Row],[Ua/V]])^(1/2)</f>
        <v>16.404267737390779</v>
      </c>
    </row>
    <row r="50" spans="1:7" x14ac:dyDescent="0.3">
      <c r="A50">
        <v>4.5336410000000003</v>
      </c>
      <c r="B50">
        <v>1.9044049999999999</v>
      </c>
      <c r="C50">
        <v>285.02</v>
      </c>
      <c r="D50">
        <v>28.204552700000001</v>
      </c>
      <c r="F50" s="1">
        <f>LN(beran_If19[[#This Row],[Ia/uA]])</f>
        <v>3.3394834081759184</v>
      </c>
      <c r="G50" s="1">
        <f>(beran_If19[[#This Row],[Ua/V]])^(1/2)</f>
        <v>16.88253535462017</v>
      </c>
    </row>
    <row r="51" spans="1:7" x14ac:dyDescent="0.3">
      <c r="A51">
        <v>4.5337870000000002</v>
      </c>
      <c r="B51">
        <v>1.904366</v>
      </c>
      <c r="C51">
        <v>308.89999999999998</v>
      </c>
      <c r="D51">
        <v>28.337857799999998</v>
      </c>
      <c r="F51" s="1">
        <f>LN(beran_If19[[#This Row],[Ia/uA]])</f>
        <v>3.344198642132409</v>
      </c>
      <c r="G51" s="1">
        <f>(beran_If19[[#This Row],[Ua/V]])^(1/2)</f>
        <v>17.575551200460257</v>
      </c>
    </row>
    <row r="52" spans="1:7" x14ac:dyDescent="0.3">
      <c r="A52">
        <v>4.5338010000000004</v>
      </c>
      <c r="B52">
        <v>1.904363</v>
      </c>
      <c r="C52">
        <v>324.82</v>
      </c>
      <c r="D52">
        <v>28.464427300000001</v>
      </c>
      <c r="F52" s="1">
        <f>LN(beran_If19[[#This Row],[Ia/uA]])</f>
        <v>3.3486551427557143</v>
      </c>
      <c r="G52" s="1">
        <f>(beran_If19[[#This Row],[Ua/V]])^(1/2)</f>
        <v>18.022763384120648</v>
      </c>
    </row>
    <row r="53" spans="1:7" x14ac:dyDescent="0.3">
      <c r="A53">
        <v>4.5338770000000004</v>
      </c>
      <c r="B53">
        <v>1.9043909999999999</v>
      </c>
      <c r="C53">
        <v>348.7</v>
      </c>
      <c r="D53">
        <v>28.5776076</v>
      </c>
      <c r="F53" s="1">
        <f>LN(beran_If19[[#This Row],[Ia/uA]])</f>
        <v>3.3526234601106033</v>
      </c>
      <c r="G53" s="1">
        <f>(beran_If19[[#This Row],[Ua/V]])^(1/2)</f>
        <v>18.673510650116114</v>
      </c>
    </row>
    <row r="54" spans="1:7" x14ac:dyDescent="0.3">
      <c r="A54">
        <v>4.5337560000000003</v>
      </c>
      <c r="B54">
        <v>1.9043840000000001</v>
      </c>
      <c r="C54">
        <v>364.7</v>
      </c>
      <c r="D54">
        <v>28.6891693</v>
      </c>
      <c r="F54" s="1">
        <f>LN(beran_If19[[#This Row],[Ia/uA]])</f>
        <v>3.3565196752345972</v>
      </c>
      <c r="G54" s="1">
        <f>(beran_If19[[#This Row],[Ua/V]])^(1/2)</f>
        <v>19.097120201747696</v>
      </c>
    </row>
    <row r="55" spans="1:7" x14ac:dyDescent="0.3">
      <c r="A55">
        <v>4.5334919999999999</v>
      </c>
      <c r="B55">
        <v>1.904352</v>
      </c>
      <c r="C55">
        <v>388.6</v>
      </c>
      <c r="D55">
        <v>28.793278600000001</v>
      </c>
      <c r="F55" s="1">
        <f>LN(beran_If19[[#This Row],[Ia/uA]])</f>
        <v>3.360141977959652</v>
      </c>
      <c r="G55" s="1">
        <f>(beran_If19[[#This Row],[Ua/V]])^(1/2)</f>
        <v>19.712939912656356</v>
      </c>
    </row>
    <row r="56" spans="1:7" x14ac:dyDescent="0.3">
      <c r="A56">
        <v>4.5333459999999999</v>
      </c>
      <c r="B56">
        <v>1.9043589999999999</v>
      </c>
      <c r="C56">
        <v>409</v>
      </c>
      <c r="D56">
        <v>28.8860998</v>
      </c>
      <c r="F56" s="1">
        <f>LN(beran_If19[[#This Row],[Ia/uA]])</f>
        <v>3.3633605036338872</v>
      </c>
      <c r="G56" s="1">
        <f>(beran_If19[[#This Row],[Ua/V]])^(1/2)</f>
        <v>20.223748416156685</v>
      </c>
    </row>
    <row r="57" spans="1:7" x14ac:dyDescent="0.3">
      <c r="A57">
        <v>4.5331859999999997</v>
      </c>
      <c r="B57">
        <v>1.9043950000000001</v>
      </c>
      <c r="C57">
        <v>429</v>
      </c>
      <c r="D57">
        <v>28.985758100000002</v>
      </c>
      <c r="F57" s="1">
        <f>LN(beran_If19[[#This Row],[Ia/uA]])</f>
        <v>3.3668046093573736</v>
      </c>
      <c r="G57" s="1">
        <f>(beran_If19[[#This Row],[Ua/V]])^(1/2)</f>
        <v>20.71231517720798</v>
      </c>
    </row>
    <row r="58" spans="1:7" x14ac:dyDescent="0.3">
      <c r="A58">
        <v>4.5330130000000004</v>
      </c>
      <c r="B58">
        <v>1.90438</v>
      </c>
      <c r="C58">
        <v>449</v>
      </c>
      <c r="D58">
        <v>29.080918100000002</v>
      </c>
      <c r="F58" s="1">
        <f>LN(beran_If19[[#This Row],[Ia/uA]])</f>
        <v>3.3700822236937711</v>
      </c>
      <c r="G58" s="1">
        <f>(beran_If19[[#This Row],[Ua/V]])^(1/2)</f>
        <v>21.189620100417091</v>
      </c>
    </row>
    <row r="59" spans="1:7" x14ac:dyDescent="0.3">
      <c r="A59">
        <v>4.5330329999999996</v>
      </c>
      <c r="B59">
        <v>1.9043870000000001</v>
      </c>
      <c r="C59">
        <v>469</v>
      </c>
      <c r="D59">
        <v>29.167108500000001</v>
      </c>
      <c r="F59" s="1">
        <f>LN(beran_If19[[#This Row],[Ia/uA]])</f>
        <v>3.3730416531521494</v>
      </c>
      <c r="G59" s="1">
        <f>(beran_If19[[#This Row],[Ua/V]])^(1/2)</f>
        <v>21.656407827707714</v>
      </c>
    </row>
    <row r="60" spans="1:7" x14ac:dyDescent="0.3">
      <c r="A60">
        <f>AVERAGE(beran_If19[Uf/V])</f>
        <v>4.5375636896551725</v>
      </c>
      <c r="B60">
        <f>AVERAGE(beran_If19[If/A])</f>
        <v>1.9043783103448271</v>
      </c>
      <c r="F60" s="1"/>
      <c r="G60" s="1"/>
    </row>
    <row r="61" spans="1:7" x14ac:dyDescent="0.3">
      <c r="F61" s="1"/>
      <c r="G61" s="1"/>
    </row>
    <row r="62" spans="1:7" x14ac:dyDescent="0.3">
      <c r="F62" s="1"/>
      <c r="G62" s="1"/>
    </row>
    <row r="63" spans="1:7" x14ac:dyDescent="0.3">
      <c r="F63" s="1"/>
      <c r="G63" s="1"/>
    </row>
    <row r="64" spans="1:7" x14ac:dyDescent="0.3">
      <c r="F64" s="1"/>
      <c r="G64" s="1"/>
    </row>
    <row r="65" spans="6:7" x14ac:dyDescent="0.3">
      <c r="F65" s="1"/>
      <c r="G65" s="1"/>
    </row>
    <row r="66" spans="6:7" x14ac:dyDescent="0.3">
      <c r="F66" s="1"/>
      <c r="G66" s="1"/>
    </row>
    <row r="67" spans="6:7" x14ac:dyDescent="0.3">
      <c r="F67" s="1"/>
      <c r="G67" s="1"/>
    </row>
    <row r="68" spans="6:7" x14ac:dyDescent="0.3">
      <c r="F68" s="1"/>
      <c r="G68" s="1"/>
    </row>
    <row r="69" spans="6:7" x14ac:dyDescent="0.3">
      <c r="F69" s="1"/>
      <c r="G69" s="1"/>
    </row>
    <row r="70" spans="6:7" x14ac:dyDescent="0.3">
      <c r="F70" s="1"/>
      <c r="G70" s="1"/>
    </row>
    <row r="71" spans="6:7" x14ac:dyDescent="0.3">
      <c r="F71" s="1"/>
      <c r="G71" s="1"/>
    </row>
    <row r="72" spans="6:7" x14ac:dyDescent="0.3">
      <c r="F72" s="1"/>
      <c r="G72" s="1"/>
    </row>
    <row r="73" spans="6:7" x14ac:dyDescent="0.3">
      <c r="F73" s="1"/>
      <c r="G73" s="1"/>
    </row>
  </sheetData>
  <mergeCells count="1">
    <mergeCell ref="O1:R1"/>
  </mergeCells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E2A06-142B-421C-8DCC-097DD6A511F6}">
  <dimension ref="B1:M73"/>
  <sheetViews>
    <sheetView zoomScale="70" zoomScaleNormal="70" workbookViewId="0">
      <selection activeCell="F2" sqref="F2:F73"/>
    </sheetView>
  </sheetViews>
  <sheetFormatPr defaultRowHeight="14.4" x14ac:dyDescent="0.3"/>
  <cols>
    <col min="1" max="1" width="3.33203125" customWidth="1"/>
    <col min="2" max="2" width="9.88671875" customWidth="1"/>
    <col min="3" max="3" width="3.33203125" customWidth="1"/>
    <col min="4" max="4" width="9.44140625" bestFit="1" customWidth="1"/>
    <col min="5" max="5" width="3.21875" customWidth="1"/>
    <col min="6" max="6" width="9.77734375" customWidth="1"/>
    <col min="7" max="7" width="3.21875" customWidth="1"/>
    <col min="8" max="8" width="21.88671875" customWidth="1"/>
    <col min="9" max="9" width="3.44140625" customWidth="1"/>
    <col min="10" max="10" width="18.109375" customWidth="1"/>
    <col min="11" max="11" width="3.21875" customWidth="1"/>
    <col min="12" max="12" width="12" customWidth="1"/>
  </cols>
  <sheetData>
    <row r="1" spans="2:13" x14ac:dyDescent="0.3">
      <c r="B1" t="s">
        <v>30</v>
      </c>
      <c r="C1" t="s">
        <v>37</v>
      </c>
      <c r="D1" t="s">
        <v>31</v>
      </c>
      <c r="E1" t="s">
        <v>37</v>
      </c>
      <c r="F1" t="s">
        <v>32</v>
      </c>
      <c r="G1" t="s">
        <v>37</v>
      </c>
      <c r="H1" t="s">
        <v>49</v>
      </c>
      <c r="I1" t="s">
        <v>37</v>
      </c>
      <c r="J1" t="s">
        <v>48</v>
      </c>
      <c r="K1" t="s">
        <v>37</v>
      </c>
      <c r="L1" t="s">
        <v>50</v>
      </c>
      <c r="M1" t="s">
        <v>38</v>
      </c>
    </row>
    <row r="2" spans="2:13" x14ac:dyDescent="0.3">
      <c r="B2" s="7">
        <v>4.1724889999999997</v>
      </c>
      <c r="C2" t="s">
        <v>37</v>
      </c>
      <c r="D2" s="7">
        <v>1.8040719999999999</v>
      </c>
      <c r="E2" t="s">
        <v>37</v>
      </c>
      <c r="F2" s="9">
        <v>-19.95</v>
      </c>
      <c r="G2" t="s">
        <v>37</v>
      </c>
      <c r="H2" s="6">
        <v>9.2121200000000003E-4</v>
      </c>
      <c r="I2" t="s">
        <v>37</v>
      </c>
      <c r="J2" s="6">
        <v>-6.9898201279999999</v>
      </c>
      <c r="K2" t="s">
        <v>37</v>
      </c>
      <c r="L2" t="s">
        <v>47</v>
      </c>
      <c r="M2" t="s">
        <v>38</v>
      </c>
    </row>
    <row r="3" spans="2:13" x14ac:dyDescent="0.3">
      <c r="B3" s="7">
        <v>4.1719679999999997</v>
      </c>
      <c r="C3" t="s">
        <v>37</v>
      </c>
      <c r="D3" s="7">
        <v>1.804235</v>
      </c>
      <c r="E3" t="s">
        <v>37</v>
      </c>
      <c r="F3" s="9">
        <v>-18.95</v>
      </c>
      <c r="G3" t="s">
        <v>37</v>
      </c>
      <c r="H3" s="6">
        <v>-1.9273199999999999E-3</v>
      </c>
      <c r="I3" t="s">
        <v>37</v>
      </c>
      <c r="J3" s="6" t="s">
        <v>47</v>
      </c>
      <c r="K3" t="s">
        <v>37</v>
      </c>
      <c r="L3" t="s">
        <v>47</v>
      </c>
      <c r="M3" t="s">
        <v>38</v>
      </c>
    </row>
    <row r="4" spans="2:13" x14ac:dyDescent="0.3">
      <c r="B4" s="7">
        <v>4.1717139999999997</v>
      </c>
      <c r="C4" t="s">
        <v>37</v>
      </c>
      <c r="D4" s="7">
        <v>1.8040620000000001</v>
      </c>
      <c r="E4" t="s">
        <v>37</v>
      </c>
      <c r="F4" s="9">
        <v>-17.95</v>
      </c>
      <c r="G4" t="s">
        <v>37</v>
      </c>
      <c r="H4" s="6">
        <v>-6.2032600000000004E-4</v>
      </c>
      <c r="I4" t="s">
        <v>37</v>
      </c>
      <c r="J4" s="6" t="s">
        <v>47</v>
      </c>
      <c r="K4" t="s">
        <v>37</v>
      </c>
      <c r="L4" t="s">
        <v>47</v>
      </c>
      <c r="M4" t="s">
        <v>38</v>
      </c>
    </row>
    <row r="5" spans="2:13" x14ac:dyDescent="0.3">
      <c r="B5" s="7">
        <v>4.1716559999999996</v>
      </c>
      <c r="C5" t="s">
        <v>37</v>
      </c>
      <c r="D5" s="7">
        <v>1.8042100000000001</v>
      </c>
      <c r="E5" t="s">
        <v>37</v>
      </c>
      <c r="F5" s="9">
        <v>-17.155999999999999</v>
      </c>
      <c r="G5" t="s">
        <v>37</v>
      </c>
      <c r="H5" s="6">
        <v>4.7045580000000002E-3</v>
      </c>
      <c r="I5" t="s">
        <v>37</v>
      </c>
      <c r="J5" s="6">
        <v>-5.3592234440000004</v>
      </c>
      <c r="K5" t="s">
        <v>37</v>
      </c>
      <c r="L5" t="s">
        <v>47</v>
      </c>
      <c r="M5" t="s">
        <v>38</v>
      </c>
    </row>
    <row r="6" spans="2:13" x14ac:dyDescent="0.3">
      <c r="B6" s="7">
        <v>4.1713360000000002</v>
      </c>
      <c r="C6" t="s">
        <v>37</v>
      </c>
      <c r="D6" s="7">
        <v>1.804122</v>
      </c>
      <c r="E6" t="s">
        <v>37</v>
      </c>
      <c r="F6" s="9">
        <v>-15.96</v>
      </c>
      <c r="G6" t="s">
        <v>37</v>
      </c>
      <c r="H6" s="6">
        <v>-1.0644859999999999E-3</v>
      </c>
      <c r="I6" t="s">
        <v>37</v>
      </c>
      <c r="J6" s="6" t="s">
        <v>47</v>
      </c>
      <c r="K6" t="s">
        <v>37</v>
      </c>
      <c r="L6" t="s">
        <v>47</v>
      </c>
      <c r="M6" t="s">
        <v>38</v>
      </c>
    </row>
    <row r="7" spans="2:13" x14ac:dyDescent="0.3">
      <c r="B7" s="7">
        <v>4.1713290000000001</v>
      </c>
      <c r="C7" t="s">
        <v>37</v>
      </c>
      <c r="D7" s="7">
        <v>1.804122</v>
      </c>
      <c r="E7" t="s">
        <v>37</v>
      </c>
      <c r="F7" s="9">
        <v>-14.96</v>
      </c>
      <c r="G7" t="s">
        <v>37</v>
      </c>
      <c r="H7" s="6">
        <v>-7.49558E-4</v>
      </c>
      <c r="I7" t="s">
        <v>37</v>
      </c>
      <c r="J7" s="6" t="s">
        <v>47</v>
      </c>
      <c r="K7" t="s">
        <v>37</v>
      </c>
      <c r="L7" t="s">
        <v>47</v>
      </c>
      <c r="M7" t="s">
        <v>38</v>
      </c>
    </row>
    <row r="8" spans="2:13" x14ac:dyDescent="0.3">
      <c r="B8" s="7">
        <v>4.1711169999999997</v>
      </c>
      <c r="C8" t="s">
        <v>37</v>
      </c>
      <c r="D8" s="7">
        <v>1.8041750000000001</v>
      </c>
      <c r="E8" t="s">
        <v>37</v>
      </c>
      <c r="F8" s="9">
        <v>-13.96</v>
      </c>
      <c r="G8" t="s">
        <v>37</v>
      </c>
      <c r="H8" s="6">
        <v>-1.5220349999999999E-3</v>
      </c>
      <c r="I8" t="s">
        <v>37</v>
      </c>
      <c r="J8" s="6" t="s">
        <v>47</v>
      </c>
      <c r="K8" t="s">
        <v>37</v>
      </c>
      <c r="L8" t="s">
        <v>47</v>
      </c>
      <c r="M8" t="s">
        <v>38</v>
      </c>
    </row>
    <row r="9" spans="2:13" x14ac:dyDescent="0.3">
      <c r="B9" s="7">
        <v>4.1710310000000002</v>
      </c>
      <c r="C9" t="s">
        <v>37</v>
      </c>
      <c r="D9" s="7">
        <v>1.8041320000000001</v>
      </c>
      <c r="E9" t="s">
        <v>37</v>
      </c>
      <c r="F9" s="9">
        <v>-12.968</v>
      </c>
      <c r="G9" t="s">
        <v>37</v>
      </c>
      <c r="H9" s="6">
        <v>2.23069E-4</v>
      </c>
      <c r="I9" t="s">
        <v>37</v>
      </c>
      <c r="J9" s="6">
        <v>-8.4080292159999992</v>
      </c>
      <c r="K9" t="s">
        <v>37</v>
      </c>
      <c r="L9" t="s">
        <v>47</v>
      </c>
      <c r="M9" t="s">
        <v>38</v>
      </c>
    </row>
    <row r="10" spans="2:13" x14ac:dyDescent="0.3">
      <c r="B10" s="7">
        <v>4.1709680000000002</v>
      </c>
      <c r="C10" t="s">
        <v>37</v>
      </c>
      <c r="D10" s="7">
        <v>1.804111</v>
      </c>
      <c r="E10" t="s">
        <v>37</v>
      </c>
      <c r="F10" s="9">
        <v>-11.97</v>
      </c>
      <c r="G10" t="s">
        <v>37</v>
      </c>
      <c r="H10" s="6">
        <v>-1.572731E-3</v>
      </c>
      <c r="I10" t="s">
        <v>37</v>
      </c>
      <c r="J10" s="6" t="s">
        <v>47</v>
      </c>
      <c r="K10" t="s">
        <v>37</v>
      </c>
      <c r="L10" t="s">
        <v>47</v>
      </c>
      <c r="M10" t="s">
        <v>38</v>
      </c>
    </row>
    <row r="11" spans="2:13" x14ac:dyDescent="0.3">
      <c r="B11" s="7">
        <v>4.1709500000000004</v>
      </c>
      <c r="C11" t="s">
        <v>37</v>
      </c>
      <c r="D11" s="7">
        <v>1.8041609999999999</v>
      </c>
      <c r="E11" t="s">
        <v>37</v>
      </c>
      <c r="F11" s="9">
        <v>-10.97</v>
      </c>
      <c r="G11" t="s">
        <v>37</v>
      </c>
      <c r="H11" s="6">
        <v>-1.5262369999999999E-3</v>
      </c>
      <c r="I11" t="s">
        <v>37</v>
      </c>
      <c r="J11" s="6" t="s">
        <v>47</v>
      </c>
      <c r="K11" t="s">
        <v>37</v>
      </c>
      <c r="L11" t="s">
        <v>47</v>
      </c>
      <c r="M11" t="s">
        <v>38</v>
      </c>
    </row>
    <row r="12" spans="2:13" x14ac:dyDescent="0.3">
      <c r="B12" s="7">
        <v>4.170947</v>
      </c>
      <c r="C12" t="s">
        <v>37</v>
      </c>
      <c r="D12" s="7">
        <v>1.8041499999999999</v>
      </c>
      <c r="E12" t="s">
        <v>37</v>
      </c>
      <c r="F12" s="9">
        <v>-9.9700000000000006</v>
      </c>
      <c r="G12" t="s">
        <v>37</v>
      </c>
      <c r="H12" s="6">
        <v>7.5075100000000002E-4</v>
      </c>
      <c r="I12" t="s">
        <v>37</v>
      </c>
      <c r="J12" s="6">
        <v>-7.1944362870000003</v>
      </c>
      <c r="K12" t="s">
        <v>37</v>
      </c>
      <c r="L12" t="s">
        <v>47</v>
      </c>
      <c r="M12" t="s">
        <v>38</v>
      </c>
    </row>
    <row r="13" spans="2:13" x14ac:dyDescent="0.3">
      <c r="B13" s="7">
        <v>4.1709709999999998</v>
      </c>
      <c r="C13" t="s">
        <v>37</v>
      </c>
      <c r="D13" s="7">
        <v>1.804171</v>
      </c>
      <c r="E13" t="s">
        <v>37</v>
      </c>
      <c r="F13" s="9">
        <v>-8.9760000000000009</v>
      </c>
      <c r="G13" t="s">
        <v>37</v>
      </c>
      <c r="H13" s="6">
        <v>1.046242E-3</v>
      </c>
      <c r="I13" t="s">
        <v>37</v>
      </c>
      <c r="J13" s="6">
        <v>-6.8625505349999996</v>
      </c>
      <c r="K13" t="s">
        <v>37</v>
      </c>
      <c r="L13" t="s">
        <v>47</v>
      </c>
      <c r="M13" t="s">
        <v>38</v>
      </c>
    </row>
    <row r="14" spans="2:13" x14ac:dyDescent="0.3">
      <c r="B14" s="7">
        <v>4.1708249999999998</v>
      </c>
      <c r="C14" t="s">
        <v>37</v>
      </c>
      <c r="D14" s="7">
        <v>1.804154</v>
      </c>
      <c r="E14" t="s">
        <v>37</v>
      </c>
      <c r="F14" s="9">
        <v>-7.98</v>
      </c>
      <c r="G14" t="s">
        <v>37</v>
      </c>
      <c r="H14" s="6">
        <v>7.1512219999999996E-3</v>
      </c>
      <c r="I14" t="s">
        <v>37</v>
      </c>
      <c r="J14" s="6">
        <v>-4.9404719589999999</v>
      </c>
      <c r="K14" t="s">
        <v>37</v>
      </c>
      <c r="L14" t="s">
        <v>47</v>
      </c>
      <c r="M14" t="s">
        <v>38</v>
      </c>
    </row>
    <row r="15" spans="2:13" x14ac:dyDescent="0.3">
      <c r="B15" s="7">
        <v>4.1709500000000004</v>
      </c>
      <c r="C15" t="s">
        <v>37</v>
      </c>
      <c r="D15" s="7">
        <v>1.8040929999999999</v>
      </c>
      <c r="E15" t="s">
        <v>37</v>
      </c>
      <c r="F15" s="9">
        <v>-7.18</v>
      </c>
      <c r="G15" t="s">
        <v>37</v>
      </c>
      <c r="H15" s="6">
        <v>1.074867E-3</v>
      </c>
      <c r="I15" t="s">
        <v>37</v>
      </c>
      <c r="J15" s="6">
        <v>-6.8355579090000003</v>
      </c>
      <c r="K15" t="s">
        <v>37</v>
      </c>
      <c r="L15" t="s">
        <v>47</v>
      </c>
      <c r="M15" t="s">
        <v>38</v>
      </c>
    </row>
    <row r="16" spans="2:13" x14ac:dyDescent="0.3">
      <c r="B16" s="7">
        <v>4.1709019999999999</v>
      </c>
      <c r="C16" t="s">
        <v>37</v>
      </c>
      <c r="D16" s="7">
        <v>1.804168</v>
      </c>
      <c r="E16" t="s">
        <v>37</v>
      </c>
      <c r="F16" s="9">
        <v>-6.18</v>
      </c>
      <c r="G16" t="s">
        <v>37</v>
      </c>
      <c r="H16" s="6">
        <v>-7.8921799999999995E-4</v>
      </c>
      <c r="I16" t="s">
        <v>37</v>
      </c>
      <c r="J16" s="6" t="s">
        <v>47</v>
      </c>
      <c r="K16" t="s">
        <v>37</v>
      </c>
      <c r="L16" t="s">
        <v>47</v>
      </c>
      <c r="M16" t="s">
        <v>38</v>
      </c>
    </row>
    <row r="17" spans="2:13" x14ac:dyDescent="0.3">
      <c r="B17" s="7">
        <v>4.1710060000000002</v>
      </c>
      <c r="C17" t="s">
        <v>37</v>
      </c>
      <c r="D17" s="7">
        <v>1.8041430000000001</v>
      </c>
      <c r="E17" t="s">
        <v>37</v>
      </c>
      <c r="F17" s="9">
        <v>-4.9880000000000004</v>
      </c>
      <c r="G17" t="s">
        <v>37</v>
      </c>
      <c r="H17" s="6">
        <v>2.3908999999999999E-4</v>
      </c>
      <c r="I17" t="s">
        <v>37</v>
      </c>
      <c r="J17" s="6">
        <v>-8.3386699770000003</v>
      </c>
      <c r="K17" t="s">
        <v>37</v>
      </c>
      <c r="L17" t="s">
        <v>47</v>
      </c>
      <c r="M17" t="s">
        <v>38</v>
      </c>
    </row>
    <row r="18" spans="2:13" x14ac:dyDescent="0.3">
      <c r="B18" s="7">
        <v>4.1710029999999998</v>
      </c>
      <c r="C18" t="s">
        <v>37</v>
      </c>
      <c r="D18" s="7">
        <v>1.8042</v>
      </c>
      <c r="E18" t="s">
        <v>37</v>
      </c>
      <c r="F18" s="9">
        <v>-4.1900000000000004</v>
      </c>
      <c r="G18" t="s">
        <v>37</v>
      </c>
      <c r="H18" s="6">
        <v>6.3905639999999996E-3</v>
      </c>
      <c r="I18" t="s">
        <v>37</v>
      </c>
      <c r="J18" s="6">
        <v>-5.0529326890000004</v>
      </c>
      <c r="K18" t="s">
        <v>37</v>
      </c>
      <c r="L18" t="s">
        <v>47</v>
      </c>
      <c r="M18" t="s">
        <v>38</v>
      </c>
    </row>
    <row r="19" spans="2:13" x14ac:dyDescent="0.3">
      <c r="B19" s="7">
        <v>4.171062</v>
      </c>
      <c r="C19" t="s">
        <v>37</v>
      </c>
      <c r="D19" s="7">
        <v>1.8041430000000001</v>
      </c>
      <c r="E19" t="s">
        <v>37</v>
      </c>
      <c r="F19" s="9">
        <v>-3.59</v>
      </c>
      <c r="G19" t="s">
        <v>37</v>
      </c>
      <c r="H19" s="6">
        <v>2.3660113999999999E-2</v>
      </c>
      <c r="I19" t="s">
        <v>37</v>
      </c>
      <c r="J19" s="6">
        <v>-3.743964611</v>
      </c>
      <c r="K19" t="s">
        <v>37</v>
      </c>
      <c r="L19" t="s">
        <v>47</v>
      </c>
      <c r="M19" t="s">
        <v>38</v>
      </c>
    </row>
    <row r="20" spans="2:13" x14ac:dyDescent="0.3">
      <c r="B20" s="7">
        <v>4.1710580000000004</v>
      </c>
      <c r="C20" t="s">
        <v>37</v>
      </c>
      <c r="D20" s="7">
        <v>1.8041469999999999</v>
      </c>
      <c r="E20" t="s">
        <v>37</v>
      </c>
      <c r="F20" s="9">
        <v>-3.19</v>
      </c>
      <c r="G20" t="s">
        <v>37</v>
      </c>
      <c r="H20" s="6">
        <v>7.1316931E-2</v>
      </c>
      <c r="I20" t="s">
        <v>37</v>
      </c>
      <c r="J20" s="6">
        <v>-2.6406215159999999</v>
      </c>
      <c r="K20" t="s">
        <v>37</v>
      </c>
      <c r="L20" t="s">
        <v>47</v>
      </c>
      <c r="M20" t="s">
        <v>38</v>
      </c>
    </row>
    <row r="21" spans="2:13" x14ac:dyDescent="0.3">
      <c r="B21" s="7">
        <v>4.1710760000000002</v>
      </c>
      <c r="C21" t="s">
        <v>37</v>
      </c>
      <c r="D21" s="7">
        <v>1.804122</v>
      </c>
      <c r="E21" t="s">
        <v>37</v>
      </c>
      <c r="F21" s="9">
        <v>-2.79</v>
      </c>
      <c r="G21" t="s">
        <v>37</v>
      </c>
      <c r="H21" s="6">
        <v>0.162608473</v>
      </c>
      <c r="I21" t="s">
        <v>37</v>
      </c>
      <c r="J21" s="6">
        <v>-1.8164099739999999</v>
      </c>
      <c r="K21" t="s">
        <v>37</v>
      </c>
      <c r="L21" t="s">
        <v>47</v>
      </c>
      <c r="M21" t="s">
        <v>38</v>
      </c>
    </row>
    <row r="22" spans="2:13" x14ac:dyDescent="0.3">
      <c r="B22" s="7">
        <v>4.1710409999999998</v>
      </c>
      <c r="C22" t="s">
        <v>37</v>
      </c>
      <c r="D22" s="7">
        <v>1.804136</v>
      </c>
      <c r="E22" t="s">
        <v>37</v>
      </c>
      <c r="F22" s="9">
        <v>-2.3919999999999999</v>
      </c>
      <c r="G22" t="s">
        <v>37</v>
      </c>
      <c r="H22" s="6">
        <v>0.30409043600000002</v>
      </c>
      <c r="I22" t="s">
        <v>37</v>
      </c>
      <c r="J22" s="6">
        <v>-1.1904301349999999</v>
      </c>
      <c r="K22" t="s">
        <v>37</v>
      </c>
      <c r="L22" t="s">
        <v>47</v>
      </c>
      <c r="M22" t="s">
        <v>38</v>
      </c>
    </row>
    <row r="23" spans="2:13" x14ac:dyDescent="0.3">
      <c r="B23" s="7">
        <v>4.1711029999999996</v>
      </c>
      <c r="C23" t="s">
        <v>37</v>
      </c>
      <c r="D23" s="7">
        <v>1.804157</v>
      </c>
      <c r="E23" t="s">
        <v>37</v>
      </c>
      <c r="F23" s="9">
        <v>-2.0735999999999999</v>
      </c>
      <c r="G23" t="s">
        <v>37</v>
      </c>
      <c r="H23" s="6">
        <v>0.51258927200000004</v>
      </c>
      <c r="I23" t="s">
        <v>37</v>
      </c>
      <c r="J23" s="6">
        <v>-0.66828039400000006</v>
      </c>
      <c r="K23" t="s">
        <v>37</v>
      </c>
      <c r="L23" t="s">
        <v>47</v>
      </c>
      <c r="M23" t="s">
        <v>38</v>
      </c>
    </row>
    <row r="24" spans="2:13" x14ac:dyDescent="0.3">
      <c r="B24" s="7">
        <v>4.1711549999999997</v>
      </c>
      <c r="C24" t="s">
        <v>37</v>
      </c>
      <c r="D24" s="7">
        <v>1.804189</v>
      </c>
      <c r="E24" t="s">
        <v>37</v>
      </c>
      <c r="F24" s="9">
        <v>-1.5946</v>
      </c>
      <c r="G24" t="s">
        <v>37</v>
      </c>
      <c r="H24" s="6">
        <v>0.797680732</v>
      </c>
      <c r="I24" t="s">
        <v>37</v>
      </c>
      <c r="J24" s="6">
        <v>-0.226046847</v>
      </c>
      <c r="K24" t="s">
        <v>37</v>
      </c>
      <c r="L24" t="s">
        <v>47</v>
      </c>
      <c r="M24" t="s">
        <v>38</v>
      </c>
    </row>
    <row r="25" spans="2:13" x14ac:dyDescent="0.3">
      <c r="B25" s="7">
        <v>4.1711900000000002</v>
      </c>
      <c r="C25" t="s">
        <v>37</v>
      </c>
      <c r="D25" s="7">
        <v>1.804192</v>
      </c>
      <c r="E25" t="s">
        <v>37</v>
      </c>
      <c r="F25" s="9">
        <v>-1.196</v>
      </c>
      <c r="G25" t="s">
        <v>37</v>
      </c>
      <c r="H25" s="6">
        <v>0.98121778999999998</v>
      </c>
      <c r="I25" t="s">
        <v>37</v>
      </c>
      <c r="J25" s="6">
        <v>-1.8960835999999998E-2</v>
      </c>
      <c r="K25" t="s">
        <v>37</v>
      </c>
      <c r="L25" t="s">
        <v>47</v>
      </c>
      <c r="M25" t="s">
        <v>38</v>
      </c>
    </row>
    <row r="26" spans="2:13" x14ac:dyDescent="0.3">
      <c r="B26" s="7">
        <v>4.1710929999999999</v>
      </c>
      <c r="C26" t="s">
        <v>37</v>
      </c>
      <c r="D26" s="7">
        <v>1.804125</v>
      </c>
      <c r="E26" t="s">
        <v>37</v>
      </c>
      <c r="F26" s="9">
        <v>-0.79800000000000004</v>
      </c>
      <c r="G26" t="s">
        <v>37</v>
      </c>
      <c r="H26" s="6">
        <v>1.4276991699999999</v>
      </c>
      <c r="I26" t="s">
        <v>37</v>
      </c>
      <c r="J26" s="6">
        <v>0.35606417600000001</v>
      </c>
      <c r="K26" t="s">
        <v>37</v>
      </c>
      <c r="L26" t="s">
        <v>47</v>
      </c>
      <c r="M26" t="s">
        <v>38</v>
      </c>
    </row>
    <row r="27" spans="2:13" x14ac:dyDescent="0.3">
      <c r="B27" s="7">
        <v>4.1710409999999998</v>
      </c>
      <c r="C27" t="s">
        <v>37</v>
      </c>
      <c r="D27" s="7">
        <v>1.8040579999999999</v>
      </c>
      <c r="E27" t="s">
        <v>37</v>
      </c>
      <c r="F27" s="9">
        <v>-0.40300000000000002</v>
      </c>
      <c r="G27" t="s">
        <v>37</v>
      </c>
      <c r="H27" s="6">
        <v>1.9603389600000001</v>
      </c>
      <c r="I27" t="s">
        <v>37</v>
      </c>
      <c r="J27" s="6">
        <v>0.67311739699999995</v>
      </c>
      <c r="K27" t="s">
        <v>37</v>
      </c>
      <c r="L27" t="s">
        <v>47</v>
      </c>
      <c r="M27" t="s">
        <v>38</v>
      </c>
    </row>
    <row r="28" spans="2:13" x14ac:dyDescent="0.3">
      <c r="B28" s="7">
        <v>4.1710200000000004</v>
      </c>
      <c r="C28" t="s">
        <v>37</v>
      </c>
      <c r="D28" s="7">
        <v>1.804238</v>
      </c>
      <c r="E28" t="s">
        <v>37</v>
      </c>
      <c r="F28" s="9">
        <v>-2E-3</v>
      </c>
      <c r="G28" t="s">
        <v>37</v>
      </c>
      <c r="H28" s="6">
        <v>2.40151753</v>
      </c>
      <c r="I28" t="s">
        <v>37</v>
      </c>
      <c r="J28" s="6">
        <v>0.87610084200000005</v>
      </c>
      <c r="K28" t="s">
        <v>37</v>
      </c>
      <c r="L28" t="s">
        <v>47</v>
      </c>
      <c r="M28" t="s">
        <v>38</v>
      </c>
    </row>
    <row r="29" spans="2:13" x14ac:dyDescent="0.3">
      <c r="B29" s="7">
        <v>4.1710520000000004</v>
      </c>
      <c r="C29" t="s">
        <v>37</v>
      </c>
      <c r="D29" s="7">
        <v>1.804101</v>
      </c>
      <c r="E29" t="s">
        <v>37</v>
      </c>
      <c r="F29" s="9">
        <v>0.39900000000000002</v>
      </c>
      <c r="G29" t="s">
        <v>37</v>
      </c>
      <c r="H29" s="6">
        <v>3.4625218100000001</v>
      </c>
      <c r="I29" t="s">
        <v>37</v>
      </c>
      <c r="J29" s="6">
        <v>1.2419971700000001</v>
      </c>
      <c r="K29" t="s">
        <v>37</v>
      </c>
      <c r="L29">
        <v>0.63166446799999998</v>
      </c>
      <c r="M29" t="s">
        <v>38</v>
      </c>
    </row>
    <row r="30" spans="2:13" x14ac:dyDescent="0.3">
      <c r="B30" s="7">
        <v>4.1710130000000003</v>
      </c>
      <c r="C30" t="s">
        <v>37</v>
      </c>
      <c r="D30" s="7">
        <v>1.8041609999999999</v>
      </c>
      <c r="E30" t="s">
        <v>37</v>
      </c>
      <c r="F30" s="9">
        <v>0.79759999999999998</v>
      </c>
      <c r="G30" t="s">
        <v>37</v>
      </c>
      <c r="H30" s="6">
        <v>3.9101412999999998</v>
      </c>
      <c r="I30" t="s">
        <v>37</v>
      </c>
      <c r="J30" s="6">
        <v>1.363573511</v>
      </c>
      <c r="K30" t="s">
        <v>37</v>
      </c>
      <c r="L30">
        <v>0.89308454199999998</v>
      </c>
      <c r="M30" t="s">
        <v>38</v>
      </c>
    </row>
    <row r="31" spans="2:13" x14ac:dyDescent="0.3">
      <c r="B31" s="7">
        <v>4.1710820000000002</v>
      </c>
      <c r="C31" t="s">
        <v>37</v>
      </c>
      <c r="D31" s="7">
        <v>1.804189</v>
      </c>
      <c r="E31" t="s">
        <v>37</v>
      </c>
      <c r="F31" s="9">
        <v>1.1162000000000001</v>
      </c>
      <c r="G31" t="s">
        <v>37</v>
      </c>
      <c r="H31" s="6">
        <v>3.9505306099999999</v>
      </c>
      <c r="I31" t="s">
        <v>37</v>
      </c>
      <c r="J31" s="6">
        <v>1.3738499019999999</v>
      </c>
      <c r="K31" t="s">
        <v>37</v>
      </c>
      <c r="L31">
        <v>1.056503668</v>
      </c>
      <c r="M31" t="s">
        <v>38</v>
      </c>
    </row>
    <row r="32" spans="2:13" x14ac:dyDescent="0.3">
      <c r="B32" s="7">
        <v>4.1710960000000004</v>
      </c>
      <c r="C32" t="s">
        <v>37</v>
      </c>
      <c r="D32" s="7">
        <v>1.8041609999999999</v>
      </c>
      <c r="E32" t="s">
        <v>37</v>
      </c>
      <c r="F32" s="9">
        <v>1.5152000000000001</v>
      </c>
      <c r="G32" t="s">
        <v>37</v>
      </c>
      <c r="H32" s="6">
        <v>4.5202796200000002</v>
      </c>
      <c r="I32" t="s">
        <v>37</v>
      </c>
      <c r="J32" s="6">
        <v>1.5085738550000001</v>
      </c>
      <c r="K32" t="s">
        <v>37</v>
      </c>
      <c r="L32">
        <v>1.230934604</v>
      </c>
      <c r="M32" t="s">
        <v>38</v>
      </c>
    </row>
    <row r="33" spans="2:13" x14ac:dyDescent="0.3">
      <c r="B33" s="7">
        <v>4.1710649999999996</v>
      </c>
      <c r="C33" t="s">
        <v>37</v>
      </c>
      <c r="D33" s="7">
        <v>1.8041290000000001</v>
      </c>
      <c r="E33" t="s">
        <v>37</v>
      </c>
      <c r="F33" s="9">
        <v>1.9930000000000001</v>
      </c>
      <c r="G33" t="s">
        <v>37</v>
      </c>
      <c r="H33" s="6">
        <v>5.4284007000000001</v>
      </c>
      <c r="I33" t="s">
        <v>37</v>
      </c>
      <c r="J33" s="6">
        <v>1.6916445600000001</v>
      </c>
      <c r="K33" t="s">
        <v>37</v>
      </c>
      <c r="L33">
        <v>1.411736519</v>
      </c>
      <c r="M33" t="s">
        <v>38</v>
      </c>
    </row>
    <row r="34" spans="2:13" x14ac:dyDescent="0.3">
      <c r="B34" s="7">
        <v>4.1712040000000004</v>
      </c>
      <c r="C34" t="s">
        <v>37</v>
      </c>
      <c r="D34" s="7">
        <v>1.804122</v>
      </c>
      <c r="E34" t="s">
        <v>37</v>
      </c>
      <c r="F34" s="9">
        <v>2.3919999999999999</v>
      </c>
      <c r="G34" t="s">
        <v>37</v>
      </c>
      <c r="H34" s="6">
        <v>5.7291526700000004</v>
      </c>
      <c r="I34" t="s">
        <v>37</v>
      </c>
      <c r="J34" s="6">
        <v>1.7455676440000001</v>
      </c>
      <c r="K34" t="s">
        <v>37</v>
      </c>
      <c r="L34">
        <v>1.546609194</v>
      </c>
      <c r="M34" t="s">
        <v>38</v>
      </c>
    </row>
    <row r="35" spans="2:13" x14ac:dyDescent="0.3">
      <c r="B35" s="7">
        <v>4.171163</v>
      </c>
      <c r="C35" t="s">
        <v>37</v>
      </c>
      <c r="D35" s="7">
        <v>1.804189</v>
      </c>
      <c r="E35" t="s">
        <v>37</v>
      </c>
      <c r="F35" s="9">
        <v>2.7103999999999999</v>
      </c>
      <c r="G35" t="s">
        <v>37</v>
      </c>
      <c r="H35" s="6">
        <v>5.9871834399999999</v>
      </c>
      <c r="I35" t="s">
        <v>37</v>
      </c>
      <c r="J35" s="6">
        <v>1.7896210910000001</v>
      </c>
      <c r="K35" t="s">
        <v>37</v>
      </c>
      <c r="L35">
        <v>1.64632925</v>
      </c>
      <c r="M35" t="s">
        <v>38</v>
      </c>
    </row>
    <row r="36" spans="2:13" x14ac:dyDescent="0.3">
      <c r="B36" s="7">
        <v>4.1712559999999996</v>
      </c>
      <c r="C36" t="s">
        <v>37</v>
      </c>
      <c r="D36" s="7">
        <v>1.804125</v>
      </c>
      <c r="E36" t="s">
        <v>37</v>
      </c>
      <c r="F36" s="9">
        <v>3.1890000000000001</v>
      </c>
      <c r="G36" t="s">
        <v>37</v>
      </c>
      <c r="H36" s="6">
        <v>6.19154961</v>
      </c>
      <c r="I36" t="s">
        <v>37</v>
      </c>
      <c r="J36" s="6">
        <v>1.823185396</v>
      </c>
      <c r="K36" t="s">
        <v>37</v>
      </c>
      <c r="L36">
        <v>1.7857771419999999</v>
      </c>
      <c r="M36" t="s">
        <v>38</v>
      </c>
    </row>
    <row r="37" spans="2:13" x14ac:dyDescent="0.3">
      <c r="B37" s="7">
        <v>4.1712800000000003</v>
      </c>
      <c r="C37" t="s">
        <v>37</v>
      </c>
      <c r="D37" s="7">
        <v>1.804125</v>
      </c>
      <c r="E37" t="s">
        <v>37</v>
      </c>
      <c r="F37" s="9">
        <v>3.5880000000000001</v>
      </c>
      <c r="G37" t="s">
        <v>37</v>
      </c>
      <c r="H37" s="6">
        <v>6.3728112499999998</v>
      </c>
      <c r="I37" t="s">
        <v>37</v>
      </c>
      <c r="J37" s="6">
        <v>1.852040699</v>
      </c>
      <c r="K37" t="s">
        <v>37</v>
      </c>
      <c r="L37">
        <v>1.894201679</v>
      </c>
      <c r="M37" t="s">
        <v>38</v>
      </c>
    </row>
    <row r="38" spans="2:13" x14ac:dyDescent="0.3">
      <c r="B38" s="7">
        <v>4.171284</v>
      </c>
      <c r="C38" t="s">
        <v>37</v>
      </c>
      <c r="D38" s="7">
        <v>1.804157</v>
      </c>
      <c r="E38" t="s">
        <v>37</v>
      </c>
      <c r="F38" s="9">
        <v>3.9064000000000001</v>
      </c>
      <c r="G38" t="s">
        <v>37</v>
      </c>
      <c r="H38" s="6">
        <v>6.4554337300000002</v>
      </c>
      <c r="I38" t="s">
        <v>37</v>
      </c>
      <c r="J38" s="6">
        <v>1.864922215</v>
      </c>
      <c r="K38" t="s">
        <v>37</v>
      </c>
      <c r="L38">
        <v>1.976461485</v>
      </c>
      <c r="M38" t="s">
        <v>38</v>
      </c>
    </row>
    <row r="39" spans="2:13" x14ac:dyDescent="0.3">
      <c r="B39" s="7">
        <v>4.171322</v>
      </c>
      <c r="C39" t="s">
        <v>37</v>
      </c>
      <c r="D39" s="7">
        <v>1.8040719999999999</v>
      </c>
      <c r="E39" t="s">
        <v>37</v>
      </c>
      <c r="F39" s="9">
        <v>4.9880000000000004</v>
      </c>
      <c r="G39" t="s">
        <v>37</v>
      </c>
      <c r="H39" s="6">
        <v>6.6143735699999997</v>
      </c>
      <c r="I39" t="s">
        <v>37</v>
      </c>
      <c r="J39" s="6">
        <v>1.8892450949999999</v>
      </c>
      <c r="K39" t="s">
        <v>37</v>
      </c>
      <c r="L39">
        <v>2.2333830840000002</v>
      </c>
      <c r="M39" t="s">
        <v>38</v>
      </c>
    </row>
    <row r="40" spans="2:13" x14ac:dyDescent="0.3">
      <c r="B40" s="7">
        <v>4.1713430000000002</v>
      </c>
      <c r="C40" t="s">
        <v>37</v>
      </c>
      <c r="D40" s="7">
        <v>1.8041499999999999</v>
      </c>
      <c r="E40" t="s">
        <v>37</v>
      </c>
      <c r="F40" s="9">
        <v>5.98</v>
      </c>
      <c r="G40" t="s">
        <v>37</v>
      </c>
      <c r="H40" s="6">
        <v>6.7379957900000003</v>
      </c>
      <c r="I40" t="s">
        <v>37</v>
      </c>
      <c r="J40" s="6">
        <v>1.9077625199999999</v>
      </c>
      <c r="K40" t="s">
        <v>37</v>
      </c>
      <c r="L40">
        <v>2.4454038520000001</v>
      </c>
      <c r="M40" t="s">
        <v>38</v>
      </c>
    </row>
    <row r="41" spans="2:13" x14ac:dyDescent="0.3">
      <c r="B41" s="7">
        <v>4.1713079999999998</v>
      </c>
      <c r="C41" t="s">
        <v>37</v>
      </c>
      <c r="D41" s="7">
        <v>1.804125</v>
      </c>
      <c r="E41" t="s">
        <v>37</v>
      </c>
      <c r="F41" s="9">
        <v>6.98</v>
      </c>
      <c r="G41" t="s">
        <v>37</v>
      </c>
      <c r="H41" s="6">
        <v>6.8502312200000004</v>
      </c>
      <c r="I41" t="s">
        <v>37</v>
      </c>
      <c r="J41" s="6">
        <v>1.9242824059999999</v>
      </c>
      <c r="K41" t="s">
        <v>37</v>
      </c>
      <c r="L41">
        <v>2.6419689630000001</v>
      </c>
      <c r="M41" t="s">
        <v>38</v>
      </c>
    </row>
    <row r="42" spans="2:13" x14ac:dyDescent="0.3">
      <c r="B42" s="7">
        <v>4.171284</v>
      </c>
      <c r="C42" t="s">
        <v>37</v>
      </c>
      <c r="D42" s="7">
        <v>1.804136</v>
      </c>
      <c r="E42" t="s">
        <v>37</v>
      </c>
      <c r="F42" s="9">
        <v>7.78</v>
      </c>
      <c r="G42" t="s">
        <v>37</v>
      </c>
      <c r="H42" s="6">
        <v>6.9356187199999999</v>
      </c>
      <c r="I42" t="s">
        <v>37</v>
      </c>
      <c r="J42" s="6">
        <v>1.936670267</v>
      </c>
      <c r="K42" t="s">
        <v>37</v>
      </c>
      <c r="L42">
        <v>2.789265136</v>
      </c>
      <c r="M42" t="s">
        <v>38</v>
      </c>
    </row>
    <row r="43" spans="2:13" x14ac:dyDescent="0.3">
      <c r="B43" s="7">
        <v>4.1712040000000004</v>
      </c>
      <c r="C43" t="s">
        <v>37</v>
      </c>
      <c r="D43" s="7">
        <v>1.8041640000000001</v>
      </c>
      <c r="E43" t="s">
        <v>37</v>
      </c>
      <c r="F43" s="9">
        <v>8.98</v>
      </c>
      <c r="G43" t="s">
        <v>37</v>
      </c>
      <c r="H43" s="6">
        <v>7.0254774500000003</v>
      </c>
      <c r="I43" t="s">
        <v>37</v>
      </c>
      <c r="J43" s="6">
        <v>1.949543177</v>
      </c>
      <c r="K43" t="s">
        <v>37</v>
      </c>
      <c r="L43">
        <v>2.9966648130000002</v>
      </c>
      <c r="M43" t="s">
        <v>38</v>
      </c>
    </row>
    <row r="44" spans="2:13" x14ac:dyDescent="0.3">
      <c r="B44" s="7">
        <v>4.1711479999999996</v>
      </c>
      <c r="C44" t="s">
        <v>37</v>
      </c>
      <c r="D44" s="7">
        <v>1.804154</v>
      </c>
      <c r="E44" t="s">
        <v>37</v>
      </c>
      <c r="F44" s="9">
        <v>9.9700000000000006</v>
      </c>
      <c r="G44" t="s">
        <v>37</v>
      </c>
      <c r="H44" s="6">
        <v>7.1184203200000002</v>
      </c>
      <c r="I44" t="s">
        <v>37</v>
      </c>
      <c r="J44" s="6">
        <v>1.9626858359999999</v>
      </c>
      <c r="K44" t="s">
        <v>37</v>
      </c>
      <c r="L44">
        <v>3.1575306809999999</v>
      </c>
      <c r="M44" t="s">
        <v>38</v>
      </c>
    </row>
    <row r="45" spans="2:13" x14ac:dyDescent="0.3">
      <c r="B45" s="7">
        <v>4.1711169999999997</v>
      </c>
      <c r="C45" t="s">
        <v>37</v>
      </c>
      <c r="D45" s="7">
        <v>1.8041290000000001</v>
      </c>
      <c r="E45" t="s">
        <v>37</v>
      </c>
      <c r="F45" s="9">
        <v>11.97</v>
      </c>
      <c r="G45" t="s">
        <v>37</v>
      </c>
      <c r="H45" s="6">
        <v>7.2663263999999996</v>
      </c>
      <c r="I45" t="s">
        <v>37</v>
      </c>
      <c r="J45" s="6">
        <v>1.983250854</v>
      </c>
      <c r="K45" t="s">
        <v>37</v>
      </c>
      <c r="L45">
        <v>3.4597687779999999</v>
      </c>
      <c r="M45" t="s">
        <v>38</v>
      </c>
    </row>
    <row r="46" spans="2:13" x14ac:dyDescent="0.3">
      <c r="B46" s="7">
        <v>4.1709639999999997</v>
      </c>
      <c r="C46" t="s">
        <v>37</v>
      </c>
      <c r="D46" s="7">
        <v>1.8041039999999999</v>
      </c>
      <c r="E46" t="s">
        <v>37</v>
      </c>
      <c r="F46" s="9">
        <v>13.96</v>
      </c>
      <c r="G46" t="s">
        <v>37</v>
      </c>
      <c r="H46" s="6">
        <v>7.4224539500000004</v>
      </c>
      <c r="I46" t="s">
        <v>37</v>
      </c>
      <c r="J46" s="6">
        <v>2.004509724</v>
      </c>
      <c r="K46" t="s">
        <v>37</v>
      </c>
      <c r="L46">
        <v>3.7363083380000002</v>
      </c>
      <c r="M46" t="s">
        <v>38</v>
      </c>
    </row>
    <row r="47" spans="2:13" x14ac:dyDescent="0.3">
      <c r="B47" s="7">
        <v>4.1709399999999999</v>
      </c>
      <c r="C47" t="s">
        <v>37</v>
      </c>
      <c r="D47" s="7">
        <v>1.804136</v>
      </c>
      <c r="E47" t="s">
        <v>37</v>
      </c>
      <c r="F47" s="9">
        <v>15.96</v>
      </c>
      <c r="G47" t="s">
        <v>37</v>
      </c>
      <c r="H47" s="6">
        <v>7.5766312600000001</v>
      </c>
      <c r="I47" t="s">
        <v>37</v>
      </c>
      <c r="J47" s="6">
        <v>2.0250686760000001</v>
      </c>
      <c r="K47" t="s">
        <v>37</v>
      </c>
      <c r="L47">
        <v>3.9949968710000001</v>
      </c>
      <c r="M47" t="s">
        <v>38</v>
      </c>
    </row>
    <row r="48" spans="2:13" x14ac:dyDescent="0.3">
      <c r="B48" s="7">
        <v>4.1709540000000001</v>
      </c>
      <c r="C48" t="s">
        <v>37</v>
      </c>
      <c r="D48" s="7">
        <v>1.8041180000000001</v>
      </c>
      <c r="E48" t="s">
        <v>37</v>
      </c>
      <c r="F48" s="9">
        <v>17.553999999999998</v>
      </c>
      <c r="G48" t="s">
        <v>37</v>
      </c>
      <c r="H48" s="6">
        <v>7.8287614100000003</v>
      </c>
      <c r="I48" t="s">
        <v>37</v>
      </c>
      <c r="J48" s="6">
        <v>2.057804312</v>
      </c>
      <c r="K48" t="s">
        <v>37</v>
      </c>
      <c r="L48">
        <v>4.1897493959999998</v>
      </c>
      <c r="M48" t="s">
        <v>38</v>
      </c>
    </row>
    <row r="49" spans="2:13" x14ac:dyDescent="0.3">
      <c r="B49" s="7">
        <v>4.1709440000000004</v>
      </c>
      <c r="C49" t="s">
        <v>37</v>
      </c>
      <c r="D49" s="7">
        <v>1.804065</v>
      </c>
      <c r="E49" t="s">
        <v>37</v>
      </c>
      <c r="F49" s="9">
        <v>19.95</v>
      </c>
      <c r="G49" t="s">
        <v>37</v>
      </c>
      <c r="H49" s="6">
        <v>7.9927931599999997</v>
      </c>
      <c r="I49" t="s">
        <v>37</v>
      </c>
      <c r="J49" s="6">
        <v>2.078540281</v>
      </c>
      <c r="K49" t="s">
        <v>37</v>
      </c>
      <c r="L49">
        <v>4.4665422870000002</v>
      </c>
      <c r="M49" t="s">
        <v>38</v>
      </c>
    </row>
    <row r="50" spans="2:13" x14ac:dyDescent="0.3">
      <c r="B50" s="7">
        <v>4.1709540000000001</v>
      </c>
      <c r="C50" t="s">
        <v>37</v>
      </c>
      <c r="D50" s="7">
        <v>1.804182</v>
      </c>
      <c r="E50" t="s">
        <v>37</v>
      </c>
      <c r="F50" s="9">
        <v>24.047999999999998</v>
      </c>
      <c r="G50" t="s">
        <v>37</v>
      </c>
      <c r="H50" s="6">
        <v>8.5321788200000004</v>
      </c>
      <c r="I50" t="s">
        <v>37</v>
      </c>
      <c r="J50" s="6">
        <v>2.1438447589999998</v>
      </c>
      <c r="K50" t="s">
        <v>37</v>
      </c>
      <c r="L50">
        <v>4.9038760180000001</v>
      </c>
      <c r="M50" t="s">
        <v>38</v>
      </c>
    </row>
    <row r="51" spans="2:13" x14ac:dyDescent="0.3">
      <c r="B51" s="7">
        <v>4.1709500000000004</v>
      </c>
      <c r="C51" t="s">
        <v>37</v>
      </c>
      <c r="D51" s="7">
        <v>1.8041149999999999</v>
      </c>
      <c r="E51" t="s">
        <v>37</v>
      </c>
      <c r="F51" s="9">
        <v>30.052</v>
      </c>
      <c r="G51" t="s">
        <v>37</v>
      </c>
      <c r="H51" s="6">
        <v>8.928153</v>
      </c>
      <c r="I51" t="s">
        <v>37</v>
      </c>
      <c r="J51" s="6">
        <v>2.189209543</v>
      </c>
      <c r="K51" t="s">
        <v>37</v>
      </c>
      <c r="L51">
        <v>5.4819704490000003</v>
      </c>
      <c r="M51" t="s">
        <v>38</v>
      </c>
    </row>
    <row r="52" spans="2:13" x14ac:dyDescent="0.3">
      <c r="B52" s="7">
        <v>4.1709189999999996</v>
      </c>
      <c r="C52" t="s">
        <v>37</v>
      </c>
      <c r="D52" s="7">
        <v>1.8041149999999999</v>
      </c>
      <c r="E52" t="s">
        <v>37</v>
      </c>
      <c r="F52" s="9">
        <v>40</v>
      </c>
      <c r="G52" t="s">
        <v>37</v>
      </c>
      <c r="H52" s="6">
        <v>9.2992416000000002</v>
      </c>
      <c r="I52" t="s">
        <v>37</v>
      </c>
      <c r="J52" s="6">
        <v>2.2299328479999998</v>
      </c>
      <c r="K52" t="s">
        <v>37</v>
      </c>
      <c r="L52">
        <v>6.32455532</v>
      </c>
      <c r="M52" t="s">
        <v>38</v>
      </c>
    </row>
    <row r="53" spans="2:13" x14ac:dyDescent="0.3">
      <c r="B53" s="7">
        <v>4.170947</v>
      </c>
      <c r="C53" t="s">
        <v>37</v>
      </c>
      <c r="D53" s="7">
        <v>1.804154</v>
      </c>
      <c r="E53" t="s">
        <v>37</v>
      </c>
      <c r="F53" s="9">
        <v>55.92</v>
      </c>
      <c r="G53" t="s">
        <v>37</v>
      </c>
      <c r="H53" s="6">
        <v>9.5721562000000002</v>
      </c>
      <c r="I53" t="s">
        <v>37</v>
      </c>
      <c r="J53" s="6">
        <v>2.258858488</v>
      </c>
      <c r="K53" t="s">
        <v>37</v>
      </c>
      <c r="L53">
        <v>7.477967638</v>
      </c>
      <c r="M53" t="s">
        <v>38</v>
      </c>
    </row>
    <row r="54" spans="2:13" x14ac:dyDescent="0.3">
      <c r="B54" s="7">
        <v>4.1709820000000004</v>
      </c>
      <c r="C54" t="s">
        <v>37</v>
      </c>
      <c r="D54" s="7">
        <v>1.8041469999999999</v>
      </c>
      <c r="E54" t="s">
        <v>37</v>
      </c>
      <c r="F54" s="9">
        <v>79.8</v>
      </c>
      <c r="G54" t="s">
        <v>37</v>
      </c>
      <c r="H54" s="6">
        <v>9.7050079799999995</v>
      </c>
      <c r="I54" t="s">
        <v>37</v>
      </c>
      <c r="J54" s="6">
        <v>2.2726420389999999</v>
      </c>
      <c r="K54" t="s">
        <v>37</v>
      </c>
      <c r="L54">
        <v>8.9330845740000004</v>
      </c>
      <c r="M54" t="s">
        <v>38</v>
      </c>
    </row>
    <row r="55" spans="2:13" x14ac:dyDescent="0.3">
      <c r="B55" s="7">
        <v>4.1710229999999999</v>
      </c>
      <c r="C55" t="s">
        <v>37</v>
      </c>
      <c r="D55" s="7">
        <v>1.804111</v>
      </c>
      <c r="E55" t="s">
        <v>37</v>
      </c>
      <c r="F55" s="9">
        <v>99.8</v>
      </c>
      <c r="G55" t="s">
        <v>37</v>
      </c>
      <c r="H55" s="6">
        <v>10.0566131</v>
      </c>
      <c r="I55" t="s">
        <v>37</v>
      </c>
      <c r="J55" s="6">
        <v>2.3082304379999998</v>
      </c>
      <c r="K55" t="s">
        <v>37</v>
      </c>
      <c r="L55">
        <v>9.989994995</v>
      </c>
      <c r="M55" t="s">
        <v>38</v>
      </c>
    </row>
    <row r="56" spans="2:13" x14ac:dyDescent="0.3">
      <c r="B56" s="7">
        <v>4.1708920000000003</v>
      </c>
      <c r="C56" t="s">
        <v>37</v>
      </c>
      <c r="D56" s="7">
        <v>1.804136</v>
      </c>
      <c r="E56" t="s">
        <v>37</v>
      </c>
      <c r="F56" s="9">
        <v>115.72</v>
      </c>
      <c r="G56" t="s">
        <v>37</v>
      </c>
      <c r="H56" s="6">
        <v>10.142406599999999</v>
      </c>
      <c r="I56" t="s">
        <v>37</v>
      </c>
      <c r="J56" s="6">
        <v>2.316725307</v>
      </c>
      <c r="K56" t="s">
        <v>37</v>
      </c>
      <c r="L56">
        <v>10.75732309</v>
      </c>
      <c r="M56" t="s">
        <v>38</v>
      </c>
    </row>
    <row r="57" spans="2:13" x14ac:dyDescent="0.3">
      <c r="B57" s="7">
        <v>4.1708920000000003</v>
      </c>
      <c r="C57" t="s">
        <v>37</v>
      </c>
      <c r="D57" s="7">
        <v>1.8041389999999999</v>
      </c>
      <c r="E57" t="s">
        <v>37</v>
      </c>
      <c r="F57" s="9">
        <v>139.6</v>
      </c>
      <c r="G57" t="s">
        <v>37</v>
      </c>
      <c r="H57" s="6">
        <v>10.349142799999999</v>
      </c>
      <c r="I57" t="s">
        <v>37</v>
      </c>
      <c r="J57" s="6">
        <v>2.3369036950000002</v>
      </c>
      <c r="K57" t="s">
        <v>37</v>
      </c>
      <c r="L57">
        <v>11.81524439</v>
      </c>
      <c r="M57" t="s">
        <v>38</v>
      </c>
    </row>
    <row r="58" spans="2:13" x14ac:dyDescent="0.3">
      <c r="B58" s="7">
        <v>4.1710029999999998</v>
      </c>
      <c r="C58" t="s">
        <v>37</v>
      </c>
      <c r="D58" s="7">
        <v>1.8041290000000001</v>
      </c>
      <c r="E58" t="s">
        <v>37</v>
      </c>
      <c r="F58" s="9">
        <v>159.58000000000001</v>
      </c>
      <c r="G58" t="s">
        <v>37</v>
      </c>
      <c r="H58" s="6">
        <v>10.4289393</v>
      </c>
      <c r="I58" t="s">
        <v>37</v>
      </c>
      <c r="J58" s="6">
        <v>2.3445845670000001</v>
      </c>
      <c r="K58" t="s">
        <v>37</v>
      </c>
      <c r="L58">
        <v>12.632497770000001</v>
      </c>
      <c r="M58" t="s">
        <v>38</v>
      </c>
    </row>
    <row r="59" spans="2:13" x14ac:dyDescent="0.3">
      <c r="B59" s="7">
        <v>4.1709709999999998</v>
      </c>
      <c r="C59" t="s">
        <v>37</v>
      </c>
      <c r="D59" s="7">
        <v>1.8041750000000001</v>
      </c>
      <c r="E59" t="s">
        <v>37</v>
      </c>
      <c r="F59" s="9">
        <v>179.5</v>
      </c>
      <c r="G59" t="s">
        <v>37</v>
      </c>
      <c r="H59" s="6">
        <v>10.5093111</v>
      </c>
      <c r="I59" t="s">
        <v>37</v>
      </c>
      <c r="J59" s="6">
        <v>2.3522616360000002</v>
      </c>
      <c r="K59" t="s">
        <v>37</v>
      </c>
      <c r="L59">
        <v>13.39776101</v>
      </c>
      <c r="M59" t="s">
        <v>38</v>
      </c>
    </row>
    <row r="60" spans="2:13" x14ac:dyDescent="0.3">
      <c r="B60" s="7">
        <v>4.1709370000000003</v>
      </c>
      <c r="C60" t="s">
        <v>37</v>
      </c>
      <c r="D60" s="7">
        <v>1.804168</v>
      </c>
      <c r="E60" t="s">
        <v>37</v>
      </c>
      <c r="F60" s="9">
        <v>195.42</v>
      </c>
      <c r="G60" t="s">
        <v>37</v>
      </c>
      <c r="H60" s="6">
        <v>10.5836206</v>
      </c>
      <c r="I60" t="s">
        <v>37</v>
      </c>
      <c r="J60" s="6">
        <v>2.3593075799999998</v>
      </c>
      <c r="K60" t="s">
        <v>37</v>
      </c>
      <c r="L60">
        <v>13.97927037</v>
      </c>
      <c r="M60" t="s">
        <v>38</v>
      </c>
    </row>
    <row r="61" spans="2:13" x14ac:dyDescent="0.3">
      <c r="B61" s="7">
        <v>4.1708920000000003</v>
      </c>
      <c r="C61" t="s">
        <v>37</v>
      </c>
      <c r="D61" s="7">
        <v>1.8041609999999999</v>
      </c>
      <c r="E61" t="s">
        <v>37</v>
      </c>
      <c r="F61" s="9">
        <v>219.3</v>
      </c>
      <c r="G61" t="s">
        <v>37</v>
      </c>
      <c r="H61" s="6">
        <v>10.650093</v>
      </c>
      <c r="I61" t="s">
        <v>37</v>
      </c>
      <c r="J61" s="6">
        <v>2.3655686249999999</v>
      </c>
      <c r="K61" t="s">
        <v>37</v>
      </c>
      <c r="L61">
        <v>14.80878118</v>
      </c>
      <c r="M61" t="s">
        <v>38</v>
      </c>
    </row>
    <row r="62" spans="2:13" x14ac:dyDescent="0.3">
      <c r="B62" s="7">
        <v>4.170839</v>
      </c>
      <c r="C62" t="s">
        <v>37</v>
      </c>
      <c r="D62" s="7">
        <v>1.804217</v>
      </c>
      <c r="E62" t="s">
        <v>37</v>
      </c>
      <c r="F62" s="9">
        <v>239.2</v>
      </c>
      <c r="G62" t="s">
        <v>37</v>
      </c>
      <c r="H62" s="6">
        <v>10.7100788</v>
      </c>
      <c r="I62" t="s">
        <v>37</v>
      </c>
      <c r="J62" s="6">
        <v>2.3711852420000001</v>
      </c>
      <c r="K62" t="s">
        <v>37</v>
      </c>
      <c r="L62">
        <v>15.46609194</v>
      </c>
      <c r="M62" t="s">
        <v>38</v>
      </c>
    </row>
    <row r="63" spans="2:13" x14ac:dyDescent="0.3">
      <c r="B63" s="7">
        <v>4.1708249999999998</v>
      </c>
      <c r="C63" t="s">
        <v>37</v>
      </c>
      <c r="D63" s="7">
        <v>1.8040860000000001</v>
      </c>
      <c r="E63" t="s">
        <v>37</v>
      </c>
      <c r="F63" s="9">
        <v>259.2</v>
      </c>
      <c r="G63" t="s">
        <v>37</v>
      </c>
      <c r="H63" s="6">
        <v>10.768024</v>
      </c>
      <c r="I63" t="s">
        <v>37</v>
      </c>
      <c r="J63" s="6">
        <v>2.376581002</v>
      </c>
      <c r="K63" t="s">
        <v>37</v>
      </c>
      <c r="L63">
        <v>16.099689439999999</v>
      </c>
      <c r="M63" t="s">
        <v>38</v>
      </c>
    </row>
    <row r="64" spans="2:13" x14ac:dyDescent="0.3">
      <c r="B64" s="7">
        <v>4.1707840000000003</v>
      </c>
      <c r="C64" t="s">
        <v>37</v>
      </c>
      <c r="D64" s="7">
        <v>1.8042100000000001</v>
      </c>
      <c r="E64" t="s">
        <v>37</v>
      </c>
      <c r="F64" s="9">
        <v>279.10000000000002</v>
      </c>
      <c r="G64" t="s">
        <v>37</v>
      </c>
      <c r="H64" s="6">
        <v>10.825752899999999</v>
      </c>
      <c r="I64" t="s">
        <v>37</v>
      </c>
      <c r="J64" s="6">
        <v>2.3819278229999998</v>
      </c>
      <c r="K64" t="s">
        <v>37</v>
      </c>
      <c r="L64">
        <v>16.706286240000001</v>
      </c>
      <c r="M64" t="s">
        <v>38</v>
      </c>
    </row>
    <row r="65" spans="2:13" x14ac:dyDescent="0.3">
      <c r="B65" s="7">
        <v>4.1708670000000003</v>
      </c>
      <c r="C65" t="s">
        <v>37</v>
      </c>
      <c r="D65" s="7">
        <v>1.8041039999999999</v>
      </c>
      <c r="E65" t="s">
        <v>37</v>
      </c>
      <c r="F65" s="9">
        <v>299</v>
      </c>
      <c r="G65" t="s">
        <v>37</v>
      </c>
      <c r="H65" s="6">
        <v>10.8769312</v>
      </c>
      <c r="I65" t="s">
        <v>37</v>
      </c>
      <c r="J65" s="6">
        <v>2.3866441429999998</v>
      </c>
      <c r="K65" t="s">
        <v>37</v>
      </c>
      <c r="L65">
        <v>17.291616470000001</v>
      </c>
      <c r="M65" t="s">
        <v>38</v>
      </c>
    </row>
    <row r="66" spans="2:13" x14ac:dyDescent="0.3">
      <c r="B66" s="7">
        <v>4.1708850000000002</v>
      </c>
      <c r="C66" t="s">
        <v>37</v>
      </c>
      <c r="D66" s="7">
        <v>1.804076</v>
      </c>
      <c r="E66" t="s">
        <v>37</v>
      </c>
      <c r="F66" s="9">
        <v>318.89999999999998</v>
      </c>
      <c r="G66" t="s">
        <v>37</v>
      </c>
      <c r="H66" s="6">
        <v>10.9252728</v>
      </c>
      <c r="I66" t="s">
        <v>37</v>
      </c>
      <c r="J66" s="6">
        <v>2.391078711</v>
      </c>
      <c r="K66" t="s">
        <v>37</v>
      </c>
      <c r="L66">
        <v>17.857771419999999</v>
      </c>
      <c r="M66" t="s">
        <v>38</v>
      </c>
    </row>
    <row r="67" spans="2:13" x14ac:dyDescent="0.3">
      <c r="B67" s="7">
        <v>4.1707599999999996</v>
      </c>
      <c r="C67" t="s">
        <v>37</v>
      </c>
      <c r="D67" s="7">
        <v>1.8041320000000001</v>
      </c>
      <c r="E67" t="s">
        <v>37</v>
      </c>
      <c r="F67" s="9">
        <v>338.8</v>
      </c>
      <c r="G67" t="s">
        <v>37</v>
      </c>
      <c r="H67" s="6">
        <v>10.973106100000001</v>
      </c>
      <c r="I67" t="s">
        <v>37</v>
      </c>
      <c r="J67" s="6">
        <v>2.3954473790000002</v>
      </c>
      <c r="K67" t="s">
        <v>37</v>
      </c>
      <c r="L67">
        <v>18.406520579999999</v>
      </c>
      <c r="M67" t="s">
        <v>38</v>
      </c>
    </row>
    <row r="68" spans="2:13" x14ac:dyDescent="0.3">
      <c r="B68" s="7">
        <v>4.1706099999999999</v>
      </c>
      <c r="C68" t="s">
        <v>37</v>
      </c>
      <c r="D68" s="7">
        <v>1.80409</v>
      </c>
      <c r="E68" t="s">
        <v>37</v>
      </c>
      <c r="F68" s="9">
        <v>358.8</v>
      </c>
      <c r="G68" t="s">
        <v>37</v>
      </c>
      <c r="H68" s="6">
        <v>11.013966399999999</v>
      </c>
      <c r="I68" t="s">
        <v>37</v>
      </c>
      <c r="J68" s="6">
        <v>2.3991641399999999</v>
      </c>
      <c r="K68" t="s">
        <v>37</v>
      </c>
      <c r="L68">
        <v>18.94201679</v>
      </c>
      <c r="M68" t="s">
        <v>38</v>
      </c>
    </row>
    <row r="69" spans="2:13" x14ac:dyDescent="0.3">
      <c r="B69" s="7">
        <v>4.1705059999999996</v>
      </c>
      <c r="C69" t="s">
        <v>37</v>
      </c>
      <c r="D69" s="7">
        <v>1.804076</v>
      </c>
      <c r="E69" t="s">
        <v>37</v>
      </c>
      <c r="F69" s="9">
        <v>374.7</v>
      </c>
      <c r="G69" t="s">
        <v>37</v>
      </c>
      <c r="H69" s="6">
        <v>11.0574254</v>
      </c>
      <c r="I69" t="s">
        <v>37</v>
      </c>
      <c r="J69" s="6">
        <v>2.4031021840000002</v>
      </c>
      <c r="K69" t="s">
        <v>37</v>
      </c>
      <c r="L69">
        <v>19.357169209999999</v>
      </c>
      <c r="M69" t="s">
        <v>38</v>
      </c>
    </row>
    <row r="70" spans="2:13" x14ac:dyDescent="0.3">
      <c r="B70" s="7">
        <v>4.170426</v>
      </c>
      <c r="C70" t="s">
        <v>37</v>
      </c>
      <c r="D70" s="7">
        <v>1.804111</v>
      </c>
      <c r="E70" t="s">
        <v>37</v>
      </c>
      <c r="F70" s="9">
        <v>399</v>
      </c>
      <c r="G70" t="s">
        <v>37</v>
      </c>
      <c r="H70" s="6">
        <v>11.0976122</v>
      </c>
      <c r="I70" t="s">
        <v>37</v>
      </c>
      <c r="J70" s="6">
        <v>2.4067299680000001</v>
      </c>
      <c r="K70" t="s">
        <v>37</v>
      </c>
      <c r="L70">
        <v>19.974984360000001</v>
      </c>
      <c r="M70" t="s">
        <v>38</v>
      </c>
    </row>
    <row r="71" spans="2:13" x14ac:dyDescent="0.3">
      <c r="B71" s="7">
        <v>4.1704400000000001</v>
      </c>
      <c r="C71" t="s">
        <v>37</v>
      </c>
      <c r="D71" s="7">
        <v>1.804065</v>
      </c>
      <c r="E71" t="s">
        <v>37</v>
      </c>
      <c r="F71" s="9">
        <v>415</v>
      </c>
      <c r="G71" t="s">
        <v>37</v>
      </c>
      <c r="H71" s="6">
        <v>11.1385849</v>
      </c>
      <c r="I71" t="s">
        <v>37</v>
      </c>
      <c r="J71" s="6">
        <v>2.4104151979999999</v>
      </c>
      <c r="K71" t="s">
        <v>37</v>
      </c>
      <c r="L71">
        <v>20.371548789999999</v>
      </c>
      <c r="M71" t="s">
        <v>38</v>
      </c>
    </row>
    <row r="72" spans="2:13" x14ac:dyDescent="0.3">
      <c r="B72" s="7">
        <v>4.1704650000000001</v>
      </c>
      <c r="C72" t="s">
        <v>37</v>
      </c>
      <c r="D72" s="7">
        <v>1.8040579999999999</v>
      </c>
      <c r="E72" t="s">
        <v>37</v>
      </c>
      <c r="F72" s="9">
        <v>439</v>
      </c>
      <c r="G72" t="s">
        <v>37</v>
      </c>
      <c r="H72" s="6">
        <v>11.1725543</v>
      </c>
      <c r="I72" t="s">
        <v>37</v>
      </c>
      <c r="J72" s="6">
        <v>2.4134602620000001</v>
      </c>
      <c r="K72" t="s">
        <v>37</v>
      </c>
      <c r="L72">
        <v>20.952326840000001</v>
      </c>
      <c r="M72" t="s">
        <v>38</v>
      </c>
    </row>
    <row r="73" spans="2:13" x14ac:dyDescent="0.3">
      <c r="B73" s="7">
        <v>4.1705969999999999</v>
      </c>
      <c r="C73" t="s">
        <v>37</v>
      </c>
      <c r="D73" s="7">
        <v>1.804122</v>
      </c>
      <c r="E73" t="s">
        <v>37</v>
      </c>
      <c r="F73" s="9">
        <v>459</v>
      </c>
      <c r="G73" t="s">
        <v>37</v>
      </c>
      <c r="H73" s="6">
        <v>11.208206300000001</v>
      </c>
      <c r="I73" t="s">
        <v>37</v>
      </c>
      <c r="J73" s="6">
        <v>2.4166462150000001</v>
      </c>
      <c r="K73" t="s">
        <v>37</v>
      </c>
      <c r="L73">
        <v>21.42428529</v>
      </c>
      <c r="M73" t="s">
        <v>38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F1086-7E83-4F83-A1CD-FDF5668A480B}">
  <dimension ref="A1:L59"/>
  <sheetViews>
    <sheetView zoomScale="55" zoomScaleNormal="55" workbookViewId="0">
      <selection activeCell="I2" sqref="I2:I59"/>
    </sheetView>
  </sheetViews>
  <sheetFormatPr defaultRowHeight="14.4" x14ac:dyDescent="0.3"/>
  <cols>
    <col min="2" max="2" width="3.88671875" customWidth="1"/>
    <col min="4" max="4" width="2.77734375" customWidth="1"/>
    <col min="6" max="6" width="3.33203125" customWidth="1"/>
    <col min="7" max="7" width="21.6640625" customWidth="1"/>
    <col min="8" max="8" width="3.21875" customWidth="1"/>
    <col min="9" max="9" width="17.77734375" customWidth="1"/>
    <col min="10" max="10" width="3.33203125" customWidth="1"/>
    <col min="11" max="11" width="12" customWidth="1"/>
  </cols>
  <sheetData>
    <row r="1" spans="1:12" x14ac:dyDescent="0.3">
      <c r="A1" t="s">
        <v>30</v>
      </c>
      <c r="B1" t="s">
        <v>37</v>
      </c>
      <c r="C1" t="s">
        <v>31</v>
      </c>
      <c r="D1" t="s">
        <v>37</v>
      </c>
      <c r="E1" t="s">
        <v>32</v>
      </c>
      <c r="F1" t="s">
        <v>37</v>
      </c>
      <c r="G1" t="s">
        <v>49</v>
      </c>
      <c r="H1" t="s">
        <v>37</v>
      </c>
      <c r="I1" t="s">
        <v>48</v>
      </c>
      <c r="J1" t="s">
        <v>37</v>
      </c>
      <c r="K1" t="s">
        <v>50</v>
      </c>
      <c r="L1" t="s">
        <v>38</v>
      </c>
    </row>
    <row r="2" spans="1:12" x14ac:dyDescent="0.3">
      <c r="A2">
        <v>4.5471659999999998</v>
      </c>
      <c r="B2" t="s">
        <v>37</v>
      </c>
      <c r="C2">
        <v>1.904274</v>
      </c>
      <c r="D2" t="s">
        <v>37</v>
      </c>
      <c r="E2">
        <v>-19.95</v>
      </c>
      <c r="F2" t="s">
        <v>37</v>
      </c>
      <c r="G2">
        <v>2.5877809999999999E-3</v>
      </c>
      <c r="H2" t="s">
        <v>37</v>
      </c>
      <c r="I2">
        <v>-5.9569546239999998</v>
      </c>
      <c r="J2" t="s">
        <v>37</v>
      </c>
      <c r="K2" t="s">
        <v>47</v>
      </c>
      <c r="L2" t="s">
        <v>38</v>
      </c>
    </row>
    <row r="3" spans="1:12" x14ac:dyDescent="0.3">
      <c r="A3">
        <v>4.5470930000000003</v>
      </c>
      <c r="B3" t="s">
        <v>37</v>
      </c>
      <c r="C3">
        <v>1.9042289999999999</v>
      </c>
      <c r="D3" t="s">
        <v>37</v>
      </c>
      <c r="E3">
        <v>-14.96</v>
      </c>
      <c r="F3" t="s">
        <v>37</v>
      </c>
      <c r="G3">
        <v>1.916694E-3</v>
      </c>
      <c r="H3" t="s">
        <v>37</v>
      </c>
      <c r="I3">
        <v>-6.2571536659999998</v>
      </c>
      <c r="J3" t="s">
        <v>37</v>
      </c>
      <c r="K3" t="s">
        <v>47</v>
      </c>
      <c r="L3" t="s">
        <v>38</v>
      </c>
    </row>
    <row r="4" spans="1:12" x14ac:dyDescent="0.3">
      <c r="A4">
        <v>4.545617</v>
      </c>
      <c r="B4" t="s">
        <v>37</v>
      </c>
      <c r="C4">
        <v>1.904299</v>
      </c>
      <c r="D4" t="s">
        <v>37</v>
      </c>
      <c r="E4">
        <v>-9.9700000000000006</v>
      </c>
      <c r="F4" t="s">
        <v>37</v>
      </c>
      <c r="G4">
        <v>7.0425700000000002E-4</v>
      </c>
      <c r="H4" t="s">
        <v>37</v>
      </c>
      <c r="I4">
        <v>-7.2583667289999996</v>
      </c>
      <c r="J4" t="s">
        <v>37</v>
      </c>
      <c r="K4" t="s">
        <v>47</v>
      </c>
      <c r="L4" t="s">
        <v>38</v>
      </c>
    </row>
    <row r="5" spans="1:12" x14ac:dyDescent="0.3">
      <c r="A5">
        <v>4.5434679999999998</v>
      </c>
      <c r="B5" t="s">
        <v>37</v>
      </c>
      <c r="C5">
        <v>1.9043239999999999</v>
      </c>
      <c r="D5" t="s">
        <v>37</v>
      </c>
      <c r="E5">
        <v>-5.9859999999999998</v>
      </c>
      <c r="F5" t="s">
        <v>37</v>
      </c>
      <c r="G5">
        <v>3.2602899999999998E-4</v>
      </c>
      <c r="H5" t="s">
        <v>37</v>
      </c>
      <c r="I5">
        <v>-8.0285241650000003</v>
      </c>
      <c r="J5" t="s">
        <v>37</v>
      </c>
      <c r="K5" t="s">
        <v>47</v>
      </c>
      <c r="L5" t="s">
        <v>38</v>
      </c>
    </row>
    <row r="6" spans="1:12" x14ac:dyDescent="0.3">
      <c r="A6">
        <v>4.5423530000000003</v>
      </c>
      <c r="B6" t="s">
        <v>37</v>
      </c>
      <c r="C6">
        <v>1.9043559999999999</v>
      </c>
      <c r="D6" t="s">
        <v>37</v>
      </c>
      <c r="E6">
        <v>-4.1900000000000004</v>
      </c>
      <c r="F6" t="s">
        <v>37</v>
      </c>
      <c r="G6">
        <v>7.6007756999999995E-2</v>
      </c>
      <c r="H6" t="s">
        <v>37</v>
      </c>
      <c r="I6">
        <v>-2.5769198790000001</v>
      </c>
      <c r="J6" t="s">
        <v>37</v>
      </c>
      <c r="K6" t="s">
        <v>47</v>
      </c>
      <c r="L6" t="s">
        <v>38</v>
      </c>
    </row>
    <row r="7" spans="1:12" x14ac:dyDescent="0.3">
      <c r="A7">
        <v>4.5423980000000004</v>
      </c>
      <c r="B7" t="s">
        <v>37</v>
      </c>
      <c r="C7">
        <v>1.9043490000000001</v>
      </c>
      <c r="D7" t="s">
        <v>37</v>
      </c>
      <c r="E7">
        <v>-3.59</v>
      </c>
      <c r="F7" t="s">
        <v>37</v>
      </c>
      <c r="G7">
        <v>0.36403311900000002</v>
      </c>
      <c r="H7" t="s">
        <v>37</v>
      </c>
      <c r="I7">
        <v>-1.010510429</v>
      </c>
      <c r="J7" t="s">
        <v>37</v>
      </c>
      <c r="K7" t="s">
        <v>47</v>
      </c>
      <c r="L7" t="s">
        <v>38</v>
      </c>
    </row>
    <row r="8" spans="1:12" x14ac:dyDescent="0.3">
      <c r="A8">
        <v>4.5423289999999996</v>
      </c>
      <c r="B8" t="s">
        <v>37</v>
      </c>
      <c r="C8">
        <v>1.904444</v>
      </c>
      <c r="D8" t="s">
        <v>37</v>
      </c>
      <c r="E8">
        <v>-3.19</v>
      </c>
      <c r="F8" t="s">
        <v>37</v>
      </c>
      <c r="G8">
        <v>0.89619670299999998</v>
      </c>
      <c r="H8" t="s">
        <v>37</v>
      </c>
      <c r="I8">
        <v>-0.109595356</v>
      </c>
      <c r="J8" t="s">
        <v>37</v>
      </c>
      <c r="K8" t="s">
        <v>47</v>
      </c>
      <c r="L8" t="s">
        <v>38</v>
      </c>
    </row>
    <row r="9" spans="1:12" x14ac:dyDescent="0.3">
      <c r="A9">
        <v>4.542249</v>
      </c>
      <c r="B9" t="s">
        <v>37</v>
      </c>
      <c r="C9">
        <v>1.9043589999999999</v>
      </c>
      <c r="D9" t="s">
        <v>37</v>
      </c>
      <c r="E9">
        <v>-2.79</v>
      </c>
      <c r="F9" t="s">
        <v>37</v>
      </c>
      <c r="G9">
        <v>1.14709682</v>
      </c>
      <c r="H9" t="s">
        <v>37</v>
      </c>
      <c r="I9">
        <v>0.137234246</v>
      </c>
      <c r="J9" t="s">
        <v>37</v>
      </c>
      <c r="K9" t="s">
        <v>47</v>
      </c>
      <c r="L9" t="s">
        <v>38</v>
      </c>
    </row>
    <row r="10" spans="1:12" x14ac:dyDescent="0.3">
      <c r="A10">
        <v>4.5418950000000002</v>
      </c>
      <c r="B10" t="s">
        <v>37</v>
      </c>
      <c r="C10">
        <v>1.90438</v>
      </c>
      <c r="D10" t="s">
        <v>37</v>
      </c>
      <c r="E10">
        <v>-2.1930000000000001</v>
      </c>
      <c r="F10" t="s">
        <v>37</v>
      </c>
      <c r="G10">
        <v>2.41092781</v>
      </c>
      <c r="H10" t="s">
        <v>37</v>
      </c>
      <c r="I10">
        <v>0.88001165699999995</v>
      </c>
      <c r="J10" t="s">
        <v>37</v>
      </c>
      <c r="K10" t="s">
        <v>47</v>
      </c>
      <c r="L10" t="s">
        <v>38</v>
      </c>
    </row>
    <row r="11" spans="1:12" x14ac:dyDescent="0.3">
      <c r="A11">
        <v>4.5416800000000004</v>
      </c>
      <c r="B11" t="s">
        <v>37</v>
      </c>
      <c r="C11">
        <v>1.904366</v>
      </c>
      <c r="D11" t="s">
        <v>37</v>
      </c>
      <c r="E11">
        <v>-1.7944</v>
      </c>
      <c r="F11" t="s">
        <v>37</v>
      </c>
      <c r="G11">
        <v>3.9826485300000001</v>
      </c>
      <c r="H11" t="s">
        <v>37</v>
      </c>
      <c r="I11">
        <v>1.381947058</v>
      </c>
      <c r="J11" t="s">
        <v>37</v>
      </c>
      <c r="K11" t="s">
        <v>47</v>
      </c>
      <c r="L11" t="s">
        <v>38</v>
      </c>
    </row>
    <row r="12" spans="1:12" x14ac:dyDescent="0.3">
      <c r="A12">
        <v>4.5415539999999996</v>
      </c>
      <c r="B12" t="s">
        <v>37</v>
      </c>
      <c r="C12">
        <v>1.9043699999999999</v>
      </c>
      <c r="D12" t="s">
        <v>37</v>
      </c>
      <c r="E12">
        <v>-1.3158000000000001</v>
      </c>
      <c r="F12" t="s">
        <v>37</v>
      </c>
      <c r="G12">
        <v>5.3070630899999998</v>
      </c>
      <c r="H12" t="s">
        <v>37</v>
      </c>
      <c r="I12">
        <v>1.6690385919999999</v>
      </c>
      <c r="J12" t="s">
        <v>37</v>
      </c>
      <c r="K12" t="s">
        <v>47</v>
      </c>
      <c r="L12" t="s">
        <v>38</v>
      </c>
    </row>
    <row r="13" spans="1:12" x14ac:dyDescent="0.3">
      <c r="A13">
        <v>4.5414370000000002</v>
      </c>
      <c r="B13" t="s">
        <v>37</v>
      </c>
      <c r="C13">
        <v>1.904317</v>
      </c>
      <c r="D13" t="s">
        <v>37</v>
      </c>
      <c r="E13">
        <v>-0.79800000000000004</v>
      </c>
      <c r="F13" t="s">
        <v>37</v>
      </c>
      <c r="G13">
        <v>6.6847692900000002</v>
      </c>
      <c r="H13" t="s">
        <v>37</v>
      </c>
      <c r="I13">
        <v>1.8998316980000001</v>
      </c>
      <c r="J13" t="s">
        <v>37</v>
      </c>
      <c r="K13" t="s">
        <v>47</v>
      </c>
      <c r="L13" t="s">
        <v>38</v>
      </c>
    </row>
    <row r="14" spans="1:12" x14ac:dyDescent="0.3">
      <c r="A14">
        <v>4.5412660000000002</v>
      </c>
      <c r="B14" t="s">
        <v>37</v>
      </c>
      <c r="C14">
        <v>1.9043699999999999</v>
      </c>
      <c r="D14" t="s">
        <v>37</v>
      </c>
      <c r="E14">
        <v>-0.3992</v>
      </c>
      <c r="F14" t="s">
        <v>37</v>
      </c>
      <c r="G14">
        <v>6.6835374200000004</v>
      </c>
      <c r="H14" t="s">
        <v>37</v>
      </c>
      <c r="I14">
        <v>1.899647401</v>
      </c>
      <c r="J14" t="s">
        <v>37</v>
      </c>
      <c r="K14" t="s">
        <v>47</v>
      </c>
      <c r="L14" t="s">
        <v>38</v>
      </c>
    </row>
    <row r="15" spans="1:12" x14ac:dyDescent="0.3">
      <c r="A15">
        <v>4.5409750000000004</v>
      </c>
      <c r="B15" t="s">
        <v>37</v>
      </c>
      <c r="C15">
        <v>1.9043909999999999</v>
      </c>
      <c r="D15" t="s">
        <v>37</v>
      </c>
      <c r="E15">
        <v>-4.7999999999999996E-3</v>
      </c>
      <c r="F15" t="s">
        <v>37</v>
      </c>
      <c r="G15">
        <v>10.3452877</v>
      </c>
      <c r="H15" t="s">
        <v>37</v>
      </c>
      <c r="I15">
        <v>2.3365311210000002</v>
      </c>
      <c r="J15" t="s">
        <v>37</v>
      </c>
      <c r="K15" t="s">
        <v>47</v>
      </c>
      <c r="L15" t="s">
        <v>38</v>
      </c>
    </row>
    <row r="16" spans="1:12" x14ac:dyDescent="0.3">
      <c r="A16">
        <v>4.5409569999999997</v>
      </c>
      <c r="B16" t="s">
        <v>37</v>
      </c>
      <c r="C16">
        <v>1.904423</v>
      </c>
      <c r="D16" t="s">
        <v>37</v>
      </c>
      <c r="E16">
        <v>0.39900000000000002</v>
      </c>
      <c r="F16" t="s">
        <v>37</v>
      </c>
      <c r="G16">
        <v>10.9165454</v>
      </c>
      <c r="H16" t="s">
        <v>37</v>
      </c>
      <c r="I16">
        <v>2.3902795650000002</v>
      </c>
      <c r="J16" t="s">
        <v>37</v>
      </c>
      <c r="K16">
        <v>0.63166446799999998</v>
      </c>
      <c r="L16" t="s">
        <v>38</v>
      </c>
    </row>
    <row r="17" spans="1:12" x14ac:dyDescent="0.3">
      <c r="A17">
        <v>4.5407659999999996</v>
      </c>
      <c r="B17" t="s">
        <v>37</v>
      </c>
      <c r="C17">
        <v>1.904345</v>
      </c>
      <c r="D17" t="s">
        <v>37</v>
      </c>
      <c r="E17">
        <v>0.79720000000000002</v>
      </c>
      <c r="F17" t="s">
        <v>37</v>
      </c>
      <c r="G17">
        <v>11.868305400000001</v>
      </c>
      <c r="H17" t="s">
        <v>37</v>
      </c>
      <c r="I17">
        <v>2.473871435</v>
      </c>
      <c r="J17" t="s">
        <v>37</v>
      </c>
      <c r="K17">
        <v>0.89286057100000005</v>
      </c>
      <c r="L17" t="s">
        <v>38</v>
      </c>
    </row>
    <row r="18" spans="1:12" x14ac:dyDescent="0.3">
      <c r="A18">
        <v>4.5402040000000001</v>
      </c>
      <c r="B18" t="s">
        <v>37</v>
      </c>
      <c r="C18">
        <v>1.9043909999999999</v>
      </c>
      <c r="D18" t="s">
        <v>37</v>
      </c>
      <c r="E18">
        <v>1.196</v>
      </c>
      <c r="F18" t="s">
        <v>37</v>
      </c>
      <c r="G18">
        <v>13.003161800000001</v>
      </c>
      <c r="H18" t="s">
        <v>37</v>
      </c>
      <c r="I18">
        <v>2.5651925430000002</v>
      </c>
      <c r="J18" t="s">
        <v>37</v>
      </c>
      <c r="K18">
        <v>1.0936178489999999</v>
      </c>
      <c r="L18" t="s">
        <v>38</v>
      </c>
    </row>
    <row r="19" spans="1:12" x14ac:dyDescent="0.3">
      <c r="A19">
        <v>4.5392590000000004</v>
      </c>
      <c r="B19" t="s">
        <v>37</v>
      </c>
      <c r="C19">
        <v>1.9043589999999999</v>
      </c>
      <c r="D19" t="s">
        <v>37</v>
      </c>
      <c r="E19">
        <v>1.595</v>
      </c>
      <c r="F19" t="s">
        <v>37</v>
      </c>
      <c r="G19">
        <v>14.178634300000001</v>
      </c>
      <c r="H19" t="s">
        <v>37</v>
      </c>
      <c r="I19">
        <v>2.6517362050000002</v>
      </c>
      <c r="J19" t="s">
        <v>37</v>
      </c>
      <c r="K19">
        <v>1.2629330940000001</v>
      </c>
      <c r="L19" t="s">
        <v>38</v>
      </c>
    </row>
    <row r="20" spans="1:12" x14ac:dyDescent="0.3">
      <c r="A20">
        <v>4.5391139999999996</v>
      </c>
      <c r="B20" t="s">
        <v>37</v>
      </c>
      <c r="C20">
        <v>1.9043950000000001</v>
      </c>
      <c r="D20" t="s">
        <v>37</v>
      </c>
      <c r="E20">
        <v>1.9930000000000001</v>
      </c>
      <c r="F20" t="s">
        <v>37</v>
      </c>
      <c r="G20">
        <v>14.974039599999999</v>
      </c>
      <c r="H20" t="s">
        <v>37</v>
      </c>
      <c r="I20">
        <v>2.7063180080000002</v>
      </c>
      <c r="J20" t="s">
        <v>37</v>
      </c>
      <c r="K20">
        <v>1.411736519</v>
      </c>
      <c r="L20" t="s">
        <v>38</v>
      </c>
    </row>
    <row r="21" spans="1:12" x14ac:dyDescent="0.3">
      <c r="A21">
        <v>4.5387979999999999</v>
      </c>
      <c r="B21" t="s">
        <v>37</v>
      </c>
      <c r="C21">
        <v>1.9043490000000001</v>
      </c>
      <c r="D21" t="s">
        <v>37</v>
      </c>
      <c r="E21">
        <v>2.3121999999999998</v>
      </c>
      <c r="F21" t="s">
        <v>37</v>
      </c>
      <c r="G21">
        <v>15.792627899999999</v>
      </c>
      <c r="H21" t="s">
        <v>37</v>
      </c>
      <c r="I21">
        <v>2.759543243</v>
      </c>
      <c r="J21" t="s">
        <v>37</v>
      </c>
      <c r="K21">
        <v>1.52059199</v>
      </c>
      <c r="L21" t="s">
        <v>38</v>
      </c>
    </row>
    <row r="22" spans="1:12" x14ac:dyDescent="0.3">
      <c r="A22">
        <v>4.5385229999999996</v>
      </c>
      <c r="B22" t="s">
        <v>37</v>
      </c>
      <c r="C22">
        <v>1.9044369999999999</v>
      </c>
      <c r="D22" t="s">
        <v>37</v>
      </c>
      <c r="E22">
        <v>2.79</v>
      </c>
      <c r="F22" t="s">
        <v>37</v>
      </c>
      <c r="G22">
        <v>16.1585368</v>
      </c>
      <c r="H22" t="s">
        <v>37</v>
      </c>
      <c r="I22">
        <v>2.782448504</v>
      </c>
      <c r="J22" t="s">
        <v>37</v>
      </c>
      <c r="K22">
        <v>1.670329309</v>
      </c>
      <c r="L22" t="s">
        <v>38</v>
      </c>
    </row>
    <row r="23" spans="1:12" x14ac:dyDescent="0.3">
      <c r="A23">
        <v>4.5381349999999996</v>
      </c>
      <c r="B23" t="s">
        <v>37</v>
      </c>
      <c r="C23">
        <v>1.904352</v>
      </c>
      <c r="D23" t="s">
        <v>37</v>
      </c>
      <c r="E23">
        <v>3.1890000000000001</v>
      </c>
      <c r="F23" t="s">
        <v>37</v>
      </c>
      <c r="G23">
        <v>16.443195200000002</v>
      </c>
      <c r="H23" t="s">
        <v>37</v>
      </c>
      <c r="I23">
        <v>2.7999117259999999</v>
      </c>
      <c r="J23" t="s">
        <v>37</v>
      </c>
      <c r="K23">
        <v>1.7857771419999999</v>
      </c>
      <c r="L23" t="s">
        <v>38</v>
      </c>
    </row>
    <row r="24" spans="1:12" x14ac:dyDescent="0.3">
      <c r="A24">
        <v>4.5381169999999997</v>
      </c>
      <c r="B24" t="s">
        <v>37</v>
      </c>
      <c r="C24">
        <v>1.9044049999999999</v>
      </c>
      <c r="D24" t="s">
        <v>37</v>
      </c>
      <c r="E24">
        <v>3.5880000000000001</v>
      </c>
      <c r="F24" t="s">
        <v>37</v>
      </c>
      <c r="G24">
        <v>16.7239073</v>
      </c>
      <c r="H24" t="s">
        <v>37</v>
      </c>
      <c r="I24">
        <v>2.8168392710000001</v>
      </c>
      <c r="J24" t="s">
        <v>37</v>
      </c>
      <c r="K24">
        <v>1.894201679</v>
      </c>
      <c r="L24" t="s">
        <v>38</v>
      </c>
    </row>
    <row r="25" spans="1:12" x14ac:dyDescent="0.3">
      <c r="A25">
        <v>4.5379300000000002</v>
      </c>
      <c r="B25" t="s">
        <v>37</v>
      </c>
      <c r="C25">
        <v>1.9044049999999999</v>
      </c>
      <c r="D25" t="s">
        <v>37</v>
      </c>
      <c r="E25">
        <v>3.9064000000000001</v>
      </c>
      <c r="F25" t="s">
        <v>37</v>
      </c>
      <c r="G25">
        <v>16.954036599999998</v>
      </c>
      <c r="H25" t="s">
        <v>37</v>
      </c>
      <c r="I25">
        <v>2.8305059529999999</v>
      </c>
      <c r="J25" t="s">
        <v>37</v>
      </c>
      <c r="K25">
        <v>1.976461485</v>
      </c>
      <c r="L25" t="s">
        <v>38</v>
      </c>
    </row>
    <row r="26" spans="1:12" x14ac:dyDescent="0.3">
      <c r="A26">
        <v>4.5374359999999996</v>
      </c>
      <c r="B26" t="s">
        <v>37</v>
      </c>
      <c r="C26">
        <v>1.9045080000000001</v>
      </c>
      <c r="D26" t="s">
        <v>37</v>
      </c>
      <c r="E26">
        <v>4.9880000000000004</v>
      </c>
      <c r="F26" t="s">
        <v>37</v>
      </c>
      <c r="G26">
        <v>17.480769800000001</v>
      </c>
      <c r="H26" t="s">
        <v>37</v>
      </c>
      <c r="I26">
        <v>2.8611014080000001</v>
      </c>
      <c r="J26" t="s">
        <v>37</v>
      </c>
      <c r="K26">
        <v>2.2333830840000002</v>
      </c>
      <c r="L26" t="s">
        <v>38</v>
      </c>
    </row>
    <row r="27" spans="1:12" x14ac:dyDescent="0.3">
      <c r="A27">
        <v>4.5376899999999996</v>
      </c>
      <c r="B27" t="s">
        <v>37</v>
      </c>
      <c r="C27">
        <v>1.904363</v>
      </c>
      <c r="D27" t="s">
        <v>37</v>
      </c>
      <c r="E27">
        <v>5.98</v>
      </c>
      <c r="F27" t="s">
        <v>37</v>
      </c>
      <c r="G27">
        <v>17.884236300000001</v>
      </c>
      <c r="H27" t="s">
        <v>37</v>
      </c>
      <c r="I27">
        <v>2.8839196710000001</v>
      </c>
      <c r="J27" t="s">
        <v>37</v>
      </c>
      <c r="K27">
        <v>2.4454038520000001</v>
      </c>
      <c r="L27" t="s">
        <v>38</v>
      </c>
    </row>
    <row r="28" spans="1:12" x14ac:dyDescent="0.3">
      <c r="A28">
        <v>4.5375059999999996</v>
      </c>
      <c r="B28" t="s">
        <v>37</v>
      </c>
      <c r="C28">
        <v>1.9043909999999999</v>
      </c>
      <c r="D28" t="s">
        <v>37</v>
      </c>
      <c r="E28">
        <v>6.98</v>
      </c>
      <c r="F28" t="s">
        <v>37</v>
      </c>
      <c r="G28">
        <v>18.247058500000001</v>
      </c>
      <c r="H28" t="s">
        <v>37</v>
      </c>
      <c r="I28">
        <v>2.9040038890000002</v>
      </c>
      <c r="J28" t="s">
        <v>37</v>
      </c>
      <c r="K28">
        <v>2.6419689630000001</v>
      </c>
      <c r="L28" t="s">
        <v>38</v>
      </c>
    </row>
    <row r="29" spans="1:12" x14ac:dyDescent="0.3">
      <c r="A29">
        <v>4.5373809999999999</v>
      </c>
      <c r="B29" t="s">
        <v>37</v>
      </c>
      <c r="C29">
        <v>1.9043840000000001</v>
      </c>
      <c r="D29" t="s">
        <v>37</v>
      </c>
      <c r="E29">
        <v>7.98</v>
      </c>
      <c r="F29" t="s">
        <v>37</v>
      </c>
      <c r="G29">
        <v>18.588457200000001</v>
      </c>
      <c r="H29" t="s">
        <v>37</v>
      </c>
      <c r="I29">
        <v>2.9225408069999999</v>
      </c>
      <c r="J29" t="s">
        <v>37</v>
      </c>
      <c r="K29">
        <v>2.824889378</v>
      </c>
      <c r="L29" t="s">
        <v>38</v>
      </c>
    </row>
    <row r="30" spans="1:12" x14ac:dyDescent="0.3">
      <c r="A30">
        <v>4.53728</v>
      </c>
      <c r="B30" t="s">
        <v>37</v>
      </c>
      <c r="C30">
        <v>1.904331</v>
      </c>
      <c r="D30" t="s">
        <v>37</v>
      </c>
      <c r="E30">
        <v>8.98</v>
      </c>
      <c r="F30" t="s">
        <v>37</v>
      </c>
      <c r="G30">
        <v>18.8866984</v>
      </c>
      <c r="H30" t="s">
        <v>37</v>
      </c>
      <c r="I30">
        <v>2.9384578860000001</v>
      </c>
      <c r="J30" t="s">
        <v>37</v>
      </c>
      <c r="K30">
        <v>2.9966648130000002</v>
      </c>
      <c r="L30" t="s">
        <v>38</v>
      </c>
    </row>
    <row r="31" spans="1:12" x14ac:dyDescent="0.3">
      <c r="A31">
        <v>4.5369539999999997</v>
      </c>
      <c r="B31" t="s">
        <v>37</v>
      </c>
      <c r="C31">
        <v>1.9043559999999999</v>
      </c>
      <c r="D31" t="s">
        <v>37</v>
      </c>
      <c r="E31">
        <v>9.9719999999999995</v>
      </c>
      <c r="F31" t="s">
        <v>37</v>
      </c>
      <c r="G31">
        <v>19.204844900000001</v>
      </c>
      <c r="H31" t="s">
        <v>37</v>
      </c>
      <c r="I31">
        <v>2.9551625860000001</v>
      </c>
      <c r="J31" t="s">
        <v>37</v>
      </c>
      <c r="K31">
        <v>3.1578473680000001</v>
      </c>
      <c r="L31" t="s">
        <v>38</v>
      </c>
    </row>
    <row r="32" spans="1:12" x14ac:dyDescent="0.3">
      <c r="A32">
        <v>4.5364500000000003</v>
      </c>
      <c r="B32" t="s">
        <v>37</v>
      </c>
      <c r="C32">
        <v>1.9044620000000001</v>
      </c>
      <c r="D32" t="s">
        <v>37</v>
      </c>
      <c r="E32">
        <v>11.97</v>
      </c>
      <c r="F32" t="s">
        <v>37</v>
      </c>
      <c r="G32">
        <v>19.8242753</v>
      </c>
      <c r="H32" t="s">
        <v>37</v>
      </c>
      <c r="I32">
        <v>2.9869072120000002</v>
      </c>
      <c r="J32" t="s">
        <v>37</v>
      </c>
      <c r="K32">
        <v>3.4597687779999999</v>
      </c>
      <c r="L32" t="s">
        <v>38</v>
      </c>
    </row>
    <row r="33" spans="1:12" x14ac:dyDescent="0.3">
      <c r="A33">
        <v>4.5360339999999999</v>
      </c>
      <c r="B33" t="s">
        <v>37</v>
      </c>
      <c r="C33">
        <v>1.904469</v>
      </c>
      <c r="D33" t="s">
        <v>37</v>
      </c>
      <c r="E33">
        <v>13.561999999999999</v>
      </c>
      <c r="F33" t="s">
        <v>37</v>
      </c>
      <c r="G33">
        <v>20.189031</v>
      </c>
      <c r="H33" t="s">
        <v>37</v>
      </c>
      <c r="I33">
        <v>3.005139437</v>
      </c>
      <c r="J33" t="s">
        <v>37</v>
      </c>
      <c r="K33">
        <v>3.6826620810000001</v>
      </c>
      <c r="L33" t="s">
        <v>38</v>
      </c>
    </row>
    <row r="34" spans="1:12" x14ac:dyDescent="0.3">
      <c r="A34">
        <v>4.5360649999999998</v>
      </c>
      <c r="B34" t="s">
        <v>37</v>
      </c>
      <c r="C34">
        <v>1.9043840000000001</v>
      </c>
      <c r="D34" t="s">
        <v>37</v>
      </c>
      <c r="E34">
        <v>15.96</v>
      </c>
      <c r="F34" t="s">
        <v>37</v>
      </c>
      <c r="G34">
        <v>21.033337499999998</v>
      </c>
      <c r="H34" t="s">
        <v>37</v>
      </c>
      <c r="I34">
        <v>3.046108679</v>
      </c>
      <c r="J34" t="s">
        <v>37</v>
      </c>
      <c r="K34">
        <v>3.9949968710000001</v>
      </c>
      <c r="L34" t="s">
        <v>38</v>
      </c>
    </row>
    <row r="35" spans="1:12" x14ac:dyDescent="0.3">
      <c r="A35">
        <v>4.535787</v>
      </c>
      <c r="B35" t="s">
        <v>37</v>
      </c>
      <c r="C35">
        <v>1.904366</v>
      </c>
      <c r="D35" t="s">
        <v>37</v>
      </c>
      <c r="E35">
        <v>17.956</v>
      </c>
      <c r="F35" t="s">
        <v>37</v>
      </c>
      <c r="G35">
        <v>21.666103400000001</v>
      </c>
      <c r="H35" t="s">
        <v>37</v>
      </c>
      <c r="I35">
        <v>3.0757489840000001</v>
      </c>
      <c r="J35" t="s">
        <v>37</v>
      </c>
      <c r="K35">
        <v>4.2374520650000003</v>
      </c>
      <c r="L35" t="s">
        <v>38</v>
      </c>
    </row>
    <row r="36" spans="1:12" x14ac:dyDescent="0.3">
      <c r="A36">
        <v>4.5357139999999996</v>
      </c>
      <c r="B36" t="s">
        <v>37</v>
      </c>
      <c r="C36">
        <v>1.9044399999999999</v>
      </c>
      <c r="D36" t="s">
        <v>37</v>
      </c>
      <c r="E36">
        <v>19.95</v>
      </c>
      <c r="F36" t="s">
        <v>37</v>
      </c>
      <c r="G36">
        <v>22.373289400000001</v>
      </c>
      <c r="H36" t="s">
        <v>37</v>
      </c>
      <c r="I36">
        <v>3.1078678100000001</v>
      </c>
      <c r="J36" t="s">
        <v>37</v>
      </c>
      <c r="K36">
        <v>4.4665422870000002</v>
      </c>
      <c r="L36" t="s">
        <v>38</v>
      </c>
    </row>
    <row r="37" spans="1:12" x14ac:dyDescent="0.3">
      <c r="A37">
        <v>4.5354890000000001</v>
      </c>
      <c r="B37" t="s">
        <v>37</v>
      </c>
      <c r="C37">
        <v>1.9043699999999999</v>
      </c>
      <c r="D37" t="s">
        <v>37</v>
      </c>
      <c r="E37">
        <v>30.02</v>
      </c>
      <c r="F37" t="s">
        <v>37</v>
      </c>
      <c r="G37">
        <v>23.528042599999999</v>
      </c>
      <c r="H37" t="s">
        <v>37</v>
      </c>
      <c r="I37">
        <v>3.1581930119999999</v>
      </c>
      <c r="J37" t="s">
        <v>37</v>
      </c>
      <c r="K37">
        <v>5.4790510130000003</v>
      </c>
      <c r="L37" t="s">
        <v>38</v>
      </c>
    </row>
    <row r="38" spans="1:12" x14ac:dyDescent="0.3">
      <c r="A38">
        <v>4.5355860000000003</v>
      </c>
      <c r="B38" t="s">
        <v>37</v>
      </c>
      <c r="C38">
        <v>1.904377</v>
      </c>
      <c r="D38" t="s">
        <v>37</v>
      </c>
      <c r="E38">
        <v>49.9</v>
      </c>
      <c r="F38" t="s">
        <v>37</v>
      </c>
      <c r="G38">
        <v>24.602042699999998</v>
      </c>
      <c r="H38" t="s">
        <v>37</v>
      </c>
      <c r="I38">
        <v>3.2028294759999998</v>
      </c>
      <c r="J38" t="s">
        <v>37</v>
      </c>
      <c r="K38">
        <v>7.0639932050000001</v>
      </c>
      <c r="L38" t="s">
        <v>38</v>
      </c>
    </row>
    <row r="39" spans="1:12" x14ac:dyDescent="0.3">
      <c r="A39">
        <v>4.5350789999999996</v>
      </c>
      <c r="B39" t="s">
        <v>37</v>
      </c>
      <c r="C39">
        <v>1.9043840000000001</v>
      </c>
      <c r="D39" t="s">
        <v>37</v>
      </c>
      <c r="E39">
        <v>69.8</v>
      </c>
      <c r="F39" t="s">
        <v>37</v>
      </c>
      <c r="G39">
        <v>25.2847905</v>
      </c>
      <c r="H39" t="s">
        <v>37</v>
      </c>
      <c r="I39">
        <v>3.230203049</v>
      </c>
      <c r="J39" t="s">
        <v>37</v>
      </c>
      <c r="K39">
        <v>8.3546394300000006</v>
      </c>
      <c r="L39" t="s">
        <v>38</v>
      </c>
    </row>
    <row r="40" spans="1:12" x14ac:dyDescent="0.3">
      <c r="A40">
        <v>4.5350510000000002</v>
      </c>
      <c r="B40" t="s">
        <v>37</v>
      </c>
      <c r="C40">
        <v>1.904412</v>
      </c>
      <c r="D40" t="s">
        <v>37</v>
      </c>
      <c r="E40">
        <v>89.8</v>
      </c>
      <c r="F40" t="s">
        <v>37</v>
      </c>
      <c r="G40">
        <v>25.7051914</v>
      </c>
      <c r="H40" t="s">
        <v>37</v>
      </c>
      <c r="I40">
        <v>3.246692972</v>
      </c>
      <c r="J40" t="s">
        <v>37</v>
      </c>
      <c r="K40">
        <v>9.4762861919999999</v>
      </c>
      <c r="L40" t="s">
        <v>38</v>
      </c>
    </row>
    <row r="41" spans="1:12" x14ac:dyDescent="0.3">
      <c r="A41">
        <v>4.5347600000000003</v>
      </c>
      <c r="B41" t="s">
        <v>37</v>
      </c>
      <c r="C41">
        <v>1.904377</v>
      </c>
      <c r="D41" t="s">
        <v>37</v>
      </c>
      <c r="E41">
        <v>109.7</v>
      </c>
      <c r="F41" t="s">
        <v>37</v>
      </c>
      <c r="G41">
        <v>26.250534200000001</v>
      </c>
      <c r="H41" t="s">
        <v>37</v>
      </c>
      <c r="I41">
        <v>3.2676863389999999</v>
      </c>
      <c r="J41" t="s">
        <v>37</v>
      </c>
      <c r="K41">
        <v>10.47377678</v>
      </c>
      <c r="L41" t="s">
        <v>38</v>
      </c>
    </row>
    <row r="42" spans="1:12" x14ac:dyDescent="0.3">
      <c r="A42">
        <v>4.5345129999999996</v>
      </c>
      <c r="B42" t="s">
        <v>37</v>
      </c>
      <c r="C42">
        <v>1.9044190000000001</v>
      </c>
      <c r="D42" t="s">
        <v>37</v>
      </c>
      <c r="E42">
        <v>125.62</v>
      </c>
      <c r="F42" t="s">
        <v>37</v>
      </c>
      <c r="G42">
        <v>26.526935600000002</v>
      </c>
      <c r="H42" t="s">
        <v>37</v>
      </c>
      <c r="I42">
        <v>3.2781606550000002</v>
      </c>
      <c r="J42" t="s">
        <v>37</v>
      </c>
      <c r="K42">
        <v>11.208032830000001</v>
      </c>
      <c r="L42" t="s">
        <v>38</v>
      </c>
    </row>
    <row r="43" spans="1:12" x14ac:dyDescent="0.3">
      <c r="A43">
        <v>4.5339749999999999</v>
      </c>
      <c r="B43" t="s">
        <v>37</v>
      </c>
      <c r="C43">
        <v>1.904331</v>
      </c>
      <c r="D43" t="s">
        <v>37</v>
      </c>
      <c r="E43">
        <v>149.5</v>
      </c>
      <c r="F43" t="s">
        <v>37</v>
      </c>
      <c r="G43">
        <v>26.8550361</v>
      </c>
      <c r="H43" t="s">
        <v>37</v>
      </c>
      <c r="I43">
        <v>3.2904533680000001</v>
      </c>
      <c r="J43" t="s">
        <v>37</v>
      </c>
      <c r="K43">
        <v>12.227019260000001</v>
      </c>
      <c r="L43" t="s">
        <v>38</v>
      </c>
    </row>
    <row r="44" spans="1:12" x14ac:dyDescent="0.3">
      <c r="A44">
        <v>4.5339989999999997</v>
      </c>
      <c r="B44" t="s">
        <v>37</v>
      </c>
      <c r="C44">
        <v>1.904469</v>
      </c>
      <c r="D44" t="s">
        <v>37</v>
      </c>
      <c r="E44">
        <v>169.5</v>
      </c>
      <c r="F44" t="s">
        <v>37</v>
      </c>
      <c r="G44">
        <v>27.130875899999999</v>
      </c>
      <c r="H44" t="s">
        <v>37</v>
      </c>
      <c r="I44">
        <v>3.3006724109999999</v>
      </c>
      <c r="J44" t="s">
        <v>37</v>
      </c>
      <c r="K44">
        <v>13.019216569999999</v>
      </c>
      <c r="L44" t="s">
        <v>38</v>
      </c>
    </row>
    <row r="45" spans="1:12" x14ac:dyDescent="0.3">
      <c r="A45">
        <v>4.5335859999999997</v>
      </c>
      <c r="B45" t="s">
        <v>37</v>
      </c>
      <c r="C45">
        <v>1.904377</v>
      </c>
      <c r="D45" t="s">
        <v>37</v>
      </c>
      <c r="E45">
        <v>185.42</v>
      </c>
      <c r="F45" t="s">
        <v>37</v>
      </c>
      <c r="G45">
        <v>27.3604986</v>
      </c>
      <c r="H45" t="s">
        <v>37</v>
      </c>
      <c r="I45">
        <v>3.3091003159999999</v>
      </c>
      <c r="J45" t="s">
        <v>37</v>
      </c>
      <c r="K45">
        <v>13.616901260000001</v>
      </c>
      <c r="L45" t="s">
        <v>38</v>
      </c>
    </row>
    <row r="46" spans="1:12" x14ac:dyDescent="0.3">
      <c r="A46">
        <v>4.5336100000000004</v>
      </c>
      <c r="B46" t="s">
        <v>37</v>
      </c>
      <c r="C46">
        <v>1.904331</v>
      </c>
      <c r="D46" t="s">
        <v>37</v>
      </c>
      <c r="E46">
        <v>209.3</v>
      </c>
      <c r="F46" t="s">
        <v>37</v>
      </c>
      <c r="G46">
        <v>27.568357599999999</v>
      </c>
      <c r="H46" t="s">
        <v>37</v>
      </c>
      <c r="I46">
        <v>3.3166686510000001</v>
      </c>
      <c r="J46" t="s">
        <v>37</v>
      </c>
      <c r="K46">
        <v>14.46720429</v>
      </c>
      <c r="L46" t="s">
        <v>38</v>
      </c>
    </row>
    <row r="47" spans="1:12" x14ac:dyDescent="0.3">
      <c r="A47">
        <v>4.5335299999999998</v>
      </c>
      <c r="B47" t="s">
        <v>37</v>
      </c>
      <c r="C47">
        <v>1.9043909999999999</v>
      </c>
      <c r="D47" t="s">
        <v>37</v>
      </c>
      <c r="E47">
        <v>229.2</v>
      </c>
      <c r="F47" t="s">
        <v>37</v>
      </c>
      <c r="G47">
        <v>27.757303799999999</v>
      </c>
      <c r="H47" t="s">
        <v>37</v>
      </c>
      <c r="I47">
        <v>3.323499006</v>
      </c>
      <c r="J47" t="s">
        <v>37</v>
      </c>
      <c r="K47">
        <v>15.139352690000001</v>
      </c>
      <c r="L47" t="s">
        <v>38</v>
      </c>
    </row>
    <row r="48" spans="1:12" x14ac:dyDescent="0.3">
      <c r="A48">
        <v>4.5334779999999997</v>
      </c>
      <c r="B48" t="s">
        <v>37</v>
      </c>
      <c r="C48">
        <v>1.904377</v>
      </c>
      <c r="D48" t="s">
        <v>37</v>
      </c>
      <c r="E48">
        <v>249.2</v>
      </c>
      <c r="F48" t="s">
        <v>37</v>
      </c>
      <c r="G48">
        <v>27.9219662</v>
      </c>
      <c r="H48" t="s">
        <v>37</v>
      </c>
      <c r="I48">
        <v>3.3294136980000002</v>
      </c>
      <c r="J48" t="s">
        <v>37</v>
      </c>
      <c r="K48">
        <v>15.786069810000001</v>
      </c>
      <c r="L48" t="s">
        <v>38</v>
      </c>
    </row>
    <row r="49" spans="1:12" x14ac:dyDescent="0.3">
      <c r="A49">
        <v>4.5335260000000002</v>
      </c>
      <c r="B49" t="s">
        <v>37</v>
      </c>
      <c r="C49">
        <v>1.9044019999999999</v>
      </c>
      <c r="D49" t="s">
        <v>37</v>
      </c>
      <c r="E49">
        <v>269.10000000000002</v>
      </c>
      <c r="F49" t="s">
        <v>37</v>
      </c>
      <c r="G49">
        <v>28.0698647</v>
      </c>
      <c r="H49" t="s">
        <v>37</v>
      </c>
      <c r="I49">
        <v>3.3346965700000002</v>
      </c>
      <c r="J49" t="s">
        <v>37</v>
      </c>
      <c r="K49">
        <v>16.404267740000002</v>
      </c>
      <c r="L49" t="s">
        <v>38</v>
      </c>
    </row>
    <row r="50" spans="1:12" x14ac:dyDescent="0.3">
      <c r="A50">
        <v>4.5336410000000003</v>
      </c>
      <c r="B50" t="s">
        <v>37</v>
      </c>
      <c r="C50">
        <v>1.9044049999999999</v>
      </c>
      <c r="D50" t="s">
        <v>37</v>
      </c>
      <c r="E50">
        <v>285.02</v>
      </c>
      <c r="F50" t="s">
        <v>37</v>
      </c>
      <c r="G50">
        <v>28.204552700000001</v>
      </c>
      <c r="H50" t="s">
        <v>37</v>
      </c>
      <c r="I50">
        <v>3.339483408</v>
      </c>
      <c r="J50" t="s">
        <v>37</v>
      </c>
      <c r="K50">
        <v>16.882535350000001</v>
      </c>
      <c r="L50" t="s">
        <v>38</v>
      </c>
    </row>
    <row r="51" spans="1:12" x14ac:dyDescent="0.3">
      <c r="A51">
        <v>4.5337870000000002</v>
      </c>
      <c r="B51" t="s">
        <v>37</v>
      </c>
      <c r="C51">
        <v>1.904366</v>
      </c>
      <c r="D51" t="s">
        <v>37</v>
      </c>
      <c r="E51">
        <v>308.89999999999998</v>
      </c>
      <c r="F51" t="s">
        <v>37</v>
      </c>
      <c r="G51">
        <v>28.337857799999998</v>
      </c>
      <c r="H51" t="s">
        <v>37</v>
      </c>
      <c r="I51">
        <v>3.3441986419999998</v>
      </c>
      <c r="J51" t="s">
        <v>37</v>
      </c>
      <c r="K51">
        <v>17.5755512</v>
      </c>
      <c r="L51" t="s">
        <v>38</v>
      </c>
    </row>
    <row r="52" spans="1:12" x14ac:dyDescent="0.3">
      <c r="A52">
        <v>4.5338010000000004</v>
      </c>
      <c r="B52" t="s">
        <v>37</v>
      </c>
      <c r="C52">
        <v>1.904363</v>
      </c>
      <c r="D52" t="s">
        <v>37</v>
      </c>
      <c r="E52">
        <v>324.82</v>
      </c>
      <c r="F52" t="s">
        <v>37</v>
      </c>
      <c r="G52">
        <v>28.464427300000001</v>
      </c>
      <c r="H52" t="s">
        <v>37</v>
      </c>
      <c r="I52">
        <v>3.3486551429999998</v>
      </c>
      <c r="J52" t="s">
        <v>37</v>
      </c>
      <c r="K52">
        <v>18.022763380000001</v>
      </c>
      <c r="L52" t="s">
        <v>38</v>
      </c>
    </row>
    <row r="53" spans="1:12" x14ac:dyDescent="0.3">
      <c r="A53">
        <v>4.5338770000000004</v>
      </c>
      <c r="B53" t="s">
        <v>37</v>
      </c>
      <c r="C53">
        <v>1.9043909999999999</v>
      </c>
      <c r="D53" t="s">
        <v>37</v>
      </c>
      <c r="E53">
        <v>348.7</v>
      </c>
      <c r="F53" t="s">
        <v>37</v>
      </c>
      <c r="G53">
        <v>28.5776076</v>
      </c>
      <c r="H53" t="s">
        <v>37</v>
      </c>
      <c r="I53">
        <v>3.3526234600000002</v>
      </c>
      <c r="J53" t="s">
        <v>37</v>
      </c>
      <c r="K53">
        <v>18.673510650000001</v>
      </c>
      <c r="L53" t="s">
        <v>38</v>
      </c>
    </row>
    <row r="54" spans="1:12" x14ac:dyDescent="0.3">
      <c r="A54">
        <v>4.5337560000000003</v>
      </c>
      <c r="B54" t="s">
        <v>37</v>
      </c>
      <c r="C54">
        <v>1.9043840000000001</v>
      </c>
      <c r="D54" t="s">
        <v>37</v>
      </c>
      <c r="E54">
        <v>364.7</v>
      </c>
      <c r="F54" t="s">
        <v>37</v>
      </c>
      <c r="G54">
        <v>28.6891693</v>
      </c>
      <c r="H54" t="s">
        <v>37</v>
      </c>
      <c r="I54">
        <v>3.3565196749999999</v>
      </c>
      <c r="J54" t="s">
        <v>37</v>
      </c>
      <c r="K54">
        <v>19.097120199999999</v>
      </c>
      <c r="L54" t="s">
        <v>38</v>
      </c>
    </row>
    <row r="55" spans="1:12" x14ac:dyDescent="0.3">
      <c r="A55">
        <v>4.5334919999999999</v>
      </c>
      <c r="B55" t="s">
        <v>37</v>
      </c>
      <c r="C55">
        <v>1.904352</v>
      </c>
      <c r="D55" t="s">
        <v>37</v>
      </c>
      <c r="E55">
        <v>388.6</v>
      </c>
      <c r="F55" t="s">
        <v>37</v>
      </c>
      <c r="G55">
        <v>28.793278600000001</v>
      </c>
      <c r="H55" t="s">
        <v>37</v>
      </c>
      <c r="I55">
        <v>3.3601419780000001</v>
      </c>
      <c r="J55" t="s">
        <v>37</v>
      </c>
      <c r="K55">
        <v>19.712939909999999</v>
      </c>
      <c r="L55" t="s">
        <v>38</v>
      </c>
    </row>
    <row r="56" spans="1:12" x14ac:dyDescent="0.3">
      <c r="A56">
        <v>4.5333459999999999</v>
      </c>
      <c r="B56" t="s">
        <v>37</v>
      </c>
      <c r="C56">
        <v>1.9043589999999999</v>
      </c>
      <c r="D56" t="s">
        <v>37</v>
      </c>
      <c r="E56">
        <v>409</v>
      </c>
      <c r="F56" t="s">
        <v>37</v>
      </c>
      <c r="G56">
        <v>28.8860998</v>
      </c>
      <c r="H56" t="s">
        <v>37</v>
      </c>
      <c r="I56">
        <v>3.3633605040000001</v>
      </c>
      <c r="J56" t="s">
        <v>37</v>
      </c>
      <c r="K56">
        <v>20.22374842</v>
      </c>
      <c r="L56" t="s">
        <v>38</v>
      </c>
    </row>
    <row r="57" spans="1:12" x14ac:dyDescent="0.3">
      <c r="A57">
        <v>4.5331859999999997</v>
      </c>
      <c r="B57" t="s">
        <v>37</v>
      </c>
      <c r="C57">
        <v>1.9043950000000001</v>
      </c>
      <c r="D57" t="s">
        <v>37</v>
      </c>
      <c r="E57">
        <v>429</v>
      </c>
      <c r="F57" t="s">
        <v>37</v>
      </c>
      <c r="G57">
        <v>28.985758100000002</v>
      </c>
      <c r="H57" t="s">
        <v>37</v>
      </c>
      <c r="I57">
        <v>3.3668046089999999</v>
      </c>
      <c r="J57" t="s">
        <v>37</v>
      </c>
      <c r="K57">
        <v>20.712315180000001</v>
      </c>
      <c r="L57" t="s">
        <v>38</v>
      </c>
    </row>
    <row r="58" spans="1:12" x14ac:dyDescent="0.3">
      <c r="A58">
        <v>4.5330130000000004</v>
      </c>
      <c r="B58" t="s">
        <v>37</v>
      </c>
      <c r="C58">
        <v>1.90438</v>
      </c>
      <c r="D58" t="s">
        <v>37</v>
      </c>
      <c r="E58">
        <v>449</v>
      </c>
      <c r="F58" t="s">
        <v>37</v>
      </c>
      <c r="G58">
        <v>29.080918100000002</v>
      </c>
      <c r="H58" t="s">
        <v>37</v>
      </c>
      <c r="I58">
        <v>3.3700822239999999</v>
      </c>
      <c r="J58" t="s">
        <v>37</v>
      </c>
      <c r="K58">
        <v>21.189620099999999</v>
      </c>
      <c r="L58" t="s">
        <v>38</v>
      </c>
    </row>
    <row r="59" spans="1:12" x14ac:dyDescent="0.3">
      <c r="A59">
        <v>4.5330329999999996</v>
      </c>
      <c r="B59" t="s">
        <v>37</v>
      </c>
      <c r="C59">
        <v>1.9043870000000001</v>
      </c>
      <c r="D59" t="s">
        <v>37</v>
      </c>
      <c r="E59">
        <v>469</v>
      </c>
      <c r="F59" t="s">
        <v>37</v>
      </c>
      <c r="G59">
        <v>29.167108500000001</v>
      </c>
      <c r="H59" t="s">
        <v>37</v>
      </c>
      <c r="I59">
        <v>3.373041653</v>
      </c>
      <c r="J59" t="s">
        <v>37</v>
      </c>
      <c r="K59">
        <v>21.656407829999999</v>
      </c>
      <c r="L59" t="s">
        <v>38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71CE1-8A03-458B-9C73-033E57EE7370}">
  <dimension ref="A1:H21"/>
  <sheetViews>
    <sheetView workbookViewId="0">
      <selection activeCell="L11" sqref="L11"/>
    </sheetView>
  </sheetViews>
  <sheetFormatPr defaultRowHeight="14.4" x14ac:dyDescent="0.3"/>
  <cols>
    <col min="1" max="1" width="12.21875" customWidth="1"/>
    <col min="2" max="2" width="10.5546875" customWidth="1"/>
    <col min="3" max="3" width="9.109375" customWidth="1"/>
    <col min="4" max="4" width="12.5546875" customWidth="1"/>
    <col min="8" max="8" width="12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F1" t="s">
        <v>4</v>
      </c>
      <c r="G1" t="s">
        <v>5</v>
      </c>
      <c r="H1" t="s">
        <v>6</v>
      </c>
    </row>
    <row r="2" spans="1:8" x14ac:dyDescent="0.3">
      <c r="A2">
        <v>4.5693159999999997</v>
      </c>
      <c r="B2">
        <v>1.9041440000000001</v>
      </c>
      <c r="C2">
        <v>19.95</v>
      </c>
      <c r="D2">
        <v>20.393909600000001</v>
      </c>
      <c r="F2">
        <f>(beran_Ua20[[#This Row],[Uf/V]]/beran_Ua20[[#This Row],[If/A]])/(4.98*10^(-8)*4.83*10^(-3)*7.76*10^6)-1/(4.83*10^(-3))+273.15</f>
        <v>1351.7324096893581</v>
      </c>
      <c r="G2" s="1">
        <f>1/F2</f>
        <v>7.3979139127825617E-4</v>
      </c>
      <c r="H2" s="1">
        <f>LN(beran_Ua20[[#This Row],[Ia/uA]]*10^(-3)/F2^2)</f>
        <v>-18.310803602099007</v>
      </c>
    </row>
    <row r="3" spans="1:8" x14ac:dyDescent="0.3">
      <c r="A3">
        <v>4.2085730000000003</v>
      </c>
      <c r="B3">
        <v>1.8039210000000001</v>
      </c>
      <c r="C3">
        <v>19.95</v>
      </c>
      <c r="D3">
        <v>7.7639978799999998</v>
      </c>
      <c r="F3">
        <f>(beran_Ua20[[#This Row],[Uf/V]]/beran_Ua20[[#This Row],[If/A]])/(4.98*10^(-8)*4.83*10^(-3)*7.76*10^6)-1/(4.83*10^(-3))+273.15</f>
        <v>1316.0218507275226</v>
      </c>
      <c r="G3" s="1">
        <f t="shared" ref="G3:G16" si="0">1/F3</f>
        <v>7.5986580271990203E-4</v>
      </c>
      <c r="H3" s="1">
        <f>LN(beran_Ua20[[#This Row],[Ia/uA]]*10^(-3)/F3^2)</f>
        <v>-19.222995318017961</v>
      </c>
    </row>
    <row r="4" spans="1:8" x14ac:dyDescent="0.3">
      <c r="A4">
        <v>4.0334070000000004</v>
      </c>
      <c r="B4">
        <v>1.7538940000000001</v>
      </c>
      <c r="C4">
        <v>19.95</v>
      </c>
      <c r="D4">
        <v>4.6901216400000001</v>
      </c>
      <c r="F4">
        <f>(beran_Ua20[[#This Row],[Uf/V]]/beran_Ua20[[#This Row],[If/A]])/(4.98*10^(-8)*4.83*10^(-3)*7.76*10^6)-1/(4.83*10^(-3))+273.15</f>
        <v>1298.1668397821177</v>
      </c>
      <c r="G4" s="1">
        <f t="shared" si="0"/>
        <v>7.7031701115385016E-4</v>
      </c>
      <c r="H4" s="1">
        <f>LN(beran_Ua20[[#This Row],[Ia/uA]]*10^(-3)/F4^2)</f>
        <v>-19.699713610917527</v>
      </c>
    </row>
    <row r="5" spans="1:8" x14ac:dyDescent="0.3">
      <c r="A5">
        <v>3.8572860000000002</v>
      </c>
      <c r="B5">
        <v>1.703708</v>
      </c>
      <c r="C5">
        <v>19.95</v>
      </c>
      <c r="D5">
        <v>2.7817952400000001</v>
      </c>
      <c r="F5">
        <f>(beran_Ua20[[#This Row],[Uf/V]]/beran_Ua20[[#This Row],[If/A]])/(4.98*10^(-8)*4.83*10^(-3)*7.76*10^6)-1/(4.83*10^(-3))+273.15</f>
        <v>1279.076260248368</v>
      </c>
      <c r="G5" s="1">
        <f t="shared" si="0"/>
        <v>7.818142131774241E-4</v>
      </c>
      <c r="H5" s="1">
        <f>LN(beran_Ua20[[#This Row],[Ia/uA]]*10^(-3)/F5^2)</f>
        <v>-20.192445639319683</v>
      </c>
    </row>
    <row r="6" spans="1:8" x14ac:dyDescent="0.3">
      <c r="A6">
        <v>3.6979850000000001</v>
      </c>
      <c r="B6">
        <v>1.653861</v>
      </c>
      <c r="C6">
        <v>19.95</v>
      </c>
      <c r="D6">
        <v>1.6208584800000001</v>
      </c>
      <c r="F6">
        <f>(beran_Ua20[[#This Row],[Uf/V]]/beran_Ua20[[#This Row],[If/A]])/(4.98*10^(-8)*4.83*10^(-3)*7.76*10^6)-1/(4.83*10^(-3))+273.15</f>
        <v>1264.0310170213595</v>
      </c>
      <c r="G6" s="1">
        <f t="shared" si="0"/>
        <v>7.9111982738877843E-4</v>
      </c>
      <c r="H6" s="1">
        <f>LN(beran_Ua20[[#This Row],[Ia/uA]]*10^(-3)/F6^2)</f>
        <v>-20.708921570549983</v>
      </c>
    </row>
    <row r="7" spans="1:8" x14ac:dyDescent="0.3">
      <c r="A7">
        <v>3.5376669999999999</v>
      </c>
      <c r="B7">
        <v>1.6036539999999999</v>
      </c>
      <c r="C7">
        <v>19.95</v>
      </c>
      <c r="D7">
        <v>0.92579020899999998</v>
      </c>
      <c r="F7">
        <f>(beran_Ua20[[#This Row],[Uf/V]]/beran_Ua20[[#This Row],[If/A]])/(4.98*10^(-8)*4.83*10^(-3)*7.76*10^6)-1/(4.83*10^(-3))+273.15</f>
        <v>1247.9762401178864</v>
      </c>
      <c r="G7" s="1">
        <f t="shared" si="0"/>
        <v>8.0129730667431449E-4</v>
      </c>
      <c r="H7" s="1">
        <f>LN(beran_Ua20[[#This Row],[Ia/uA]]*10^(-3)/F7^2)</f>
        <v>-21.243419925903449</v>
      </c>
    </row>
    <row r="8" spans="1:8" x14ac:dyDescent="0.3">
      <c r="A8">
        <v>3.2297729999999998</v>
      </c>
      <c r="B8">
        <v>1.503325</v>
      </c>
      <c r="C8">
        <v>19.95</v>
      </c>
      <c r="D8">
        <v>0.27805962699999998</v>
      </c>
      <c r="F8">
        <f>(beran_Ua20[[#This Row],[Uf/V]]/beran_Ua20[[#This Row],[If/A]])/(4.98*10^(-8)*4.83*10^(-3)*7.76*10^6)-1/(4.83*10^(-3))+273.15</f>
        <v>1217.1255080877681</v>
      </c>
      <c r="G8" s="1">
        <f t="shared" si="0"/>
        <v>8.2160795526428903E-4</v>
      </c>
      <c r="H8" s="1">
        <f>LN(beran_Ua20[[#This Row],[Ia/uA]]*10^(-3)/F8^2)</f>
        <v>-22.396169415156795</v>
      </c>
    </row>
    <row r="9" spans="1:8" x14ac:dyDescent="0.3">
      <c r="A9">
        <v>3.0744449999999999</v>
      </c>
      <c r="B9">
        <v>1.453255</v>
      </c>
      <c r="C9">
        <v>19.95</v>
      </c>
      <c r="D9">
        <v>0.14557688599999999</v>
      </c>
      <c r="F9">
        <f>(beran_Ua20[[#This Row],[Uf/V]]/beran_Ua20[[#This Row],[If/A]])/(4.98*10^(-8)*4.83*10^(-3)*7.76*10^6)-1/(4.83*10^(-3))+273.15</f>
        <v>1199.5197947570423</v>
      </c>
      <c r="G9" s="1">
        <f t="shared" si="0"/>
        <v>8.3366694269730319E-4</v>
      </c>
      <c r="H9" s="1">
        <f>LN(beran_Ua20[[#This Row],[Ia/uA]]*10^(-3)/F9^2)</f>
        <v>-23.014159354104798</v>
      </c>
    </row>
    <row r="10" spans="1:8" x14ac:dyDescent="0.3">
      <c r="A10">
        <v>2.9283730000000001</v>
      </c>
      <c r="B10">
        <v>1.403232</v>
      </c>
      <c r="C10">
        <v>19.95</v>
      </c>
      <c r="D10">
        <v>7.6130154699999994E-2</v>
      </c>
      <c r="F10">
        <f>(beran_Ua20[[#This Row],[Uf/V]]/beran_Ua20[[#This Row],[If/A]])/(4.98*10^(-8)*4.83*10^(-3)*7.76*10^6)-1/(4.83*10^(-3))+273.15</f>
        <v>1184.154209096163</v>
      </c>
      <c r="G10" s="1">
        <f t="shared" si="0"/>
        <v>8.4448460539888331E-4</v>
      </c>
      <c r="H10" s="1">
        <f>LN(beran_Ua20[[#This Row],[Ia/uA]]*10^(-3)/F10^2)</f>
        <v>-23.636634222861723</v>
      </c>
    </row>
    <row r="11" spans="1:8" x14ac:dyDescent="0.3">
      <c r="A11">
        <v>2.781434</v>
      </c>
      <c r="B11">
        <v>1.353159</v>
      </c>
      <c r="C11">
        <v>19.95</v>
      </c>
      <c r="D11">
        <v>3.6787804799999997E-2</v>
      </c>
      <c r="F11">
        <f>(beran_Ua20[[#This Row],[Uf/V]]/beran_Ua20[[#This Row],[If/A]])/(4.98*10^(-8)*4.83*10^(-3)*7.76*10^6)-1/(4.83*10^(-3))+273.15</f>
        <v>1167.350044277581</v>
      </c>
      <c r="G11" s="1">
        <f t="shared" si="0"/>
        <v>8.566410777144861E-4</v>
      </c>
      <c r="H11" s="1">
        <f>LN(beran_Ua20[[#This Row],[Ia/uA]]*10^(-3)/F11^2)</f>
        <v>-24.335327238138852</v>
      </c>
    </row>
    <row r="12" spans="1:8" x14ac:dyDescent="0.3">
      <c r="A12">
        <v>2.6393550000000001</v>
      </c>
      <c r="B12">
        <v>1.302945</v>
      </c>
      <c r="C12">
        <v>19.95</v>
      </c>
      <c r="D12">
        <v>1.8459474399999998E-2</v>
      </c>
      <c r="F12">
        <f>(beran_Ua20[[#This Row],[Uf/V]]/beran_Ua20[[#This Row],[If/A]])/(4.98*10^(-8)*4.83*10^(-3)*7.76*10^6)-1/(4.83*10^(-3))+273.15</f>
        <v>1151.369995772819</v>
      </c>
      <c r="G12" s="1">
        <f t="shared" si="0"/>
        <v>8.6853053637964833E-4</v>
      </c>
      <c r="H12" s="1">
        <f>LN(beran_Ua20[[#This Row],[Ia/uA]]*10^(-3)/F12^2)</f>
        <v>-24.997348427655066</v>
      </c>
    </row>
    <row r="13" spans="1:8" x14ac:dyDescent="0.3">
      <c r="A13">
        <v>2.5010340000000002</v>
      </c>
      <c r="B13">
        <v>1.2528900000000001</v>
      </c>
      <c r="C13">
        <v>19.95</v>
      </c>
      <c r="D13">
        <v>1.0042046900000001E-2</v>
      </c>
      <c r="F13">
        <f>(beran_Ua20[[#This Row],[Uf/V]]/beran_Ua20[[#This Row],[If/A]])/(4.98*10^(-8)*4.83*10^(-3)*7.76*10^6)-1/(4.83*10^(-3))+273.15</f>
        <v>1135.5802968170369</v>
      </c>
      <c r="G13" s="1">
        <f t="shared" si="0"/>
        <v>8.8060703659876779E-4</v>
      </c>
      <c r="H13" s="1">
        <f>LN(beran_Ua20[[#This Row],[Ia/uA]]*10^(-3)/F13^2)</f>
        <v>-25.578527737953838</v>
      </c>
    </row>
    <row r="14" spans="1:8" x14ac:dyDescent="0.3">
      <c r="A14">
        <v>2.2268089999999998</v>
      </c>
      <c r="B14">
        <v>1.1525890000000001</v>
      </c>
      <c r="C14">
        <v>19.95</v>
      </c>
      <c r="D14">
        <v>2.0230703100000001E-3</v>
      </c>
      <c r="F14">
        <f>(beran_Ua20[[#This Row],[Uf/V]]/beran_Ua20[[#This Row],[If/A]])/(4.98*10^(-8)*4.83*10^(-3)*7.76*10^6)-1/(4.83*10^(-3))+273.15</f>
        <v>1101.1820479370756</v>
      </c>
      <c r="G14" s="1">
        <f t="shared" si="0"/>
        <v>9.0811505860758691E-4</v>
      </c>
      <c r="H14" s="1">
        <f>LN(beran_Ua20[[#This Row],[Ia/uA]]*10^(-3)/F14^2)</f>
        <v>-27.11917318679405</v>
      </c>
    </row>
    <row r="15" spans="1:8" x14ac:dyDescent="0.3">
      <c r="A15">
        <v>1.9773270000000001</v>
      </c>
      <c r="B15">
        <v>1.0525070000000001</v>
      </c>
      <c r="C15">
        <v>19.95</v>
      </c>
      <c r="D15">
        <v>2.0695641400000002E-3</v>
      </c>
      <c r="F15">
        <f>(beran_Ua20[[#This Row],[Uf/V]]/beran_Ua20[[#This Row],[If/A]])/(4.98*10^(-8)*4.83*10^(-3)*7.76*10^6)-1/(4.83*10^(-3))+273.15</f>
        <v>1072.6142076727856</v>
      </c>
      <c r="G15">
        <f t="shared" si="0"/>
        <v>9.3230165407715958E-4</v>
      </c>
      <c r="H15">
        <f>LN(beran_Ua20[[#This Row],[Ia/uA]]*10^(-3)/F15^2)</f>
        <v>-27.0438807981912</v>
      </c>
    </row>
    <row r="16" spans="1:8" x14ac:dyDescent="0.3">
      <c r="A16">
        <v>1.853048</v>
      </c>
      <c r="B16">
        <v>1.0023489999999999</v>
      </c>
      <c r="C16">
        <v>19.95</v>
      </c>
      <c r="D16">
        <v>1.42945652E-3</v>
      </c>
      <c r="F16">
        <f>(beran_Ua20[[#This Row],[Uf/V]]/beran_Ua20[[#This Row],[If/A]])/(4.98*10^(-8)*4.83*10^(-3)*7.76*10^6)-1/(4.83*10^(-3))+273.15</f>
        <v>1056.5537217344197</v>
      </c>
      <c r="G16">
        <f t="shared" si="0"/>
        <v>9.464734063483472E-4</v>
      </c>
      <c r="H16">
        <f>LN(beran_Ua20[[#This Row],[Ia/uA]]*10^(-3)/F16^2)</f>
        <v>-27.383751610959667</v>
      </c>
    </row>
    <row r="18" spans="1:3" x14ac:dyDescent="0.3">
      <c r="B18" t="s">
        <v>8</v>
      </c>
      <c r="C18" t="s">
        <v>9</v>
      </c>
    </row>
    <row r="19" spans="1:3" x14ac:dyDescent="0.3">
      <c r="A19" t="s">
        <v>7</v>
      </c>
      <c r="B19">
        <f>-53144.723369322</f>
        <v>-53144.723369321997</v>
      </c>
      <c r="C19">
        <f>578.37395060342</f>
        <v>578.37395060341998</v>
      </c>
    </row>
    <row r="20" spans="1:3" x14ac:dyDescent="0.3">
      <c r="A20" t="s">
        <v>10</v>
      </c>
      <c r="B20">
        <f>8.6173303*10^(-5)</f>
        <v>8.6173303000000012E-5</v>
      </c>
    </row>
    <row r="21" spans="1:3" x14ac:dyDescent="0.3">
      <c r="A21" t="s">
        <v>29</v>
      </c>
      <c r="B21">
        <f>-B19*B20</f>
        <v>4.5796563497557656</v>
      </c>
      <c r="C21">
        <f>C19*B20</f>
        <v>4.9840393692655548E-2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FBC06-3343-40B1-853C-133CF640B73D}">
  <dimension ref="A1:N16"/>
  <sheetViews>
    <sheetView workbookViewId="0">
      <selection activeCell="I23" sqref="I23"/>
    </sheetView>
  </sheetViews>
  <sheetFormatPr defaultRowHeight="14.4" x14ac:dyDescent="0.3"/>
  <cols>
    <col min="1" max="1" width="9.33203125" customWidth="1"/>
    <col min="2" max="2" width="3.88671875" customWidth="1"/>
    <col min="3" max="3" width="9.44140625" customWidth="1"/>
    <col min="4" max="4" width="3.5546875" customWidth="1"/>
    <col min="5" max="5" width="10" customWidth="1"/>
    <col min="6" max="6" width="3" customWidth="1"/>
    <col min="7" max="7" width="14.44140625" customWidth="1"/>
    <col min="8" max="8" width="2.6640625" customWidth="1"/>
    <col min="9" max="9" width="13.6640625" customWidth="1"/>
    <col min="10" max="10" width="2.5546875" customWidth="1"/>
    <col min="11" max="11" width="13.5546875" bestFit="1" customWidth="1"/>
    <col min="12" max="12" width="3.21875" customWidth="1"/>
    <col min="13" max="13" width="16.77734375" customWidth="1"/>
  </cols>
  <sheetData>
    <row r="1" spans="1:14" x14ac:dyDescent="0.3">
      <c r="A1" t="s">
        <v>30</v>
      </c>
      <c r="B1" t="s">
        <v>37</v>
      </c>
      <c r="C1" t="s">
        <v>31</v>
      </c>
      <c r="D1" t="s">
        <v>37</v>
      </c>
      <c r="E1" t="s">
        <v>32</v>
      </c>
      <c r="F1" t="s">
        <v>37</v>
      </c>
      <c r="G1" t="s">
        <v>33</v>
      </c>
      <c r="H1" t="s">
        <v>37</v>
      </c>
      <c r="I1" t="s">
        <v>34</v>
      </c>
      <c r="J1" t="s">
        <v>37</v>
      </c>
      <c r="K1" t="s">
        <v>35</v>
      </c>
      <c r="L1" t="s">
        <v>37</v>
      </c>
      <c r="M1" t="s">
        <v>36</v>
      </c>
      <c r="N1" t="s">
        <v>38</v>
      </c>
    </row>
    <row r="2" spans="1:14" x14ac:dyDescent="0.3">
      <c r="A2" s="7">
        <v>4.5693159999999997</v>
      </c>
      <c r="B2" t="s">
        <v>37</v>
      </c>
      <c r="C2" s="7">
        <v>1.9041440000000001</v>
      </c>
      <c r="D2" t="s">
        <v>37</v>
      </c>
      <c r="E2" s="10">
        <v>19.95</v>
      </c>
      <c r="F2" t="s">
        <v>37</v>
      </c>
      <c r="G2" s="6">
        <v>20.393909600000001</v>
      </c>
      <c r="H2" t="s">
        <v>37</v>
      </c>
      <c r="I2" s="7">
        <v>1351.7324100000001</v>
      </c>
      <c r="J2" t="s">
        <v>37</v>
      </c>
      <c r="K2" s="6">
        <v>7.3979099999999995E-4</v>
      </c>
      <c r="L2" t="s">
        <v>37</v>
      </c>
      <c r="M2" s="5">
        <v>-18.3108036</v>
      </c>
      <c r="N2" t="s">
        <v>38</v>
      </c>
    </row>
    <row r="3" spans="1:14" x14ac:dyDescent="0.3">
      <c r="A3" s="7">
        <v>4.2085730000000003</v>
      </c>
      <c r="B3" t="s">
        <v>37</v>
      </c>
      <c r="C3" s="7">
        <v>1.8039210000000001</v>
      </c>
      <c r="D3" t="s">
        <v>37</v>
      </c>
      <c r="E3" s="10">
        <v>19.95</v>
      </c>
      <c r="F3" t="s">
        <v>37</v>
      </c>
      <c r="G3" s="6">
        <v>7.7639978799999998</v>
      </c>
      <c r="H3" t="s">
        <v>37</v>
      </c>
      <c r="I3" s="7">
        <v>1316.021851</v>
      </c>
      <c r="J3" t="s">
        <v>37</v>
      </c>
      <c r="K3" s="6">
        <v>7.5986599999999999E-4</v>
      </c>
      <c r="L3" t="s">
        <v>37</v>
      </c>
      <c r="M3" s="5">
        <v>-19.222995319999999</v>
      </c>
      <c r="N3" t="s">
        <v>38</v>
      </c>
    </row>
    <row r="4" spans="1:14" x14ac:dyDescent="0.3">
      <c r="A4" s="7">
        <v>4.0334070000000004</v>
      </c>
      <c r="B4" t="s">
        <v>37</v>
      </c>
      <c r="C4" s="7">
        <v>1.7538940000000001</v>
      </c>
      <c r="D4" t="s">
        <v>37</v>
      </c>
      <c r="E4" s="10">
        <v>19.95</v>
      </c>
      <c r="F4" t="s">
        <v>37</v>
      </c>
      <c r="G4" s="6">
        <v>4.6901216400000001</v>
      </c>
      <c r="H4" t="s">
        <v>37</v>
      </c>
      <c r="I4" s="7">
        <v>1298.1668400000001</v>
      </c>
      <c r="J4" t="s">
        <v>37</v>
      </c>
      <c r="K4" s="6">
        <v>7.7031699999999996E-4</v>
      </c>
      <c r="L4" t="s">
        <v>37</v>
      </c>
      <c r="M4" s="5">
        <v>-19.69971361</v>
      </c>
      <c r="N4" t="s">
        <v>38</v>
      </c>
    </row>
    <row r="5" spans="1:14" x14ac:dyDescent="0.3">
      <c r="A5" s="7">
        <v>3.8572860000000002</v>
      </c>
      <c r="B5" t="s">
        <v>37</v>
      </c>
      <c r="C5" s="7">
        <v>1.703708</v>
      </c>
      <c r="D5" t="s">
        <v>37</v>
      </c>
      <c r="E5" s="10">
        <v>19.95</v>
      </c>
      <c r="F5" t="s">
        <v>37</v>
      </c>
      <c r="G5" s="6">
        <v>2.7817952400000001</v>
      </c>
      <c r="H5" t="s">
        <v>37</v>
      </c>
      <c r="I5" s="7">
        <v>1279.07626</v>
      </c>
      <c r="J5" t="s">
        <v>37</v>
      </c>
      <c r="K5" s="6">
        <v>7.8181400000000003E-4</v>
      </c>
      <c r="L5" t="s">
        <v>37</v>
      </c>
      <c r="M5" s="5">
        <v>-20.192445639999999</v>
      </c>
      <c r="N5" t="s">
        <v>38</v>
      </c>
    </row>
    <row r="6" spans="1:14" x14ac:dyDescent="0.3">
      <c r="A6" s="7">
        <v>3.6979850000000001</v>
      </c>
      <c r="B6" t="s">
        <v>37</v>
      </c>
      <c r="C6" s="7">
        <v>1.653861</v>
      </c>
      <c r="D6" t="s">
        <v>37</v>
      </c>
      <c r="E6" s="10">
        <v>19.95</v>
      </c>
      <c r="F6" t="s">
        <v>37</v>
      </c>
      <c r="G6" s="6">
        <v>1.6208584800000001</v>
      </c>
      <c r="H6" t="s">
        <v>37</v>
      </c>
      <c r="I6" s="7">
        <v>1264.031017</v>
      </c>
      <c r="J6" t="s">
        <v>37</v>
      </c>
      <c r="K6" s="6">
        <v>7.9111999999999997E-4</v>
      </c>
      <c r="L6" t="s">
        <v>37</v>
      </c>
      <c r="M6" s="5">
        <v>-20.708921570000001</v>
      </c>
      <c r="N6" t="s">
        <v>38</v>
      </c>
    </row>
    <row r="7" spans="1:14" x14ac:dyDescent="0.3">
      <c r="A7" s="7">
        <v>3.5376669999999999</v>
      </c>
      <c r="B7" t="s">
        <v>37</v>
      </c>
      <c r="C7" s="7">
        <v>1.6036539999999999</v>
      </c>
      <c r="D7" t="s">
        <v>37</v>
      </c>
      <c r="E7" s="10">
        <v>19.95</v>
      </c>
      <c r="F7" t="s">
        <v>37</v>
      </c>
      <c r="G7" s="6">
        <v>0.92579020899999998</v>
      </c>
      <c r="H7" t="s">
        <v>37</v>
      </c>
      <c r="I7" s="7">
        <v>1247.97624</v>
      </c>
      <c r="J7" t="s">
        <v>37</v>
      </c>
      <c r="K7" s="6">
        <v>8.0129699999999997E-4</v>
      </c>
      <c r="L7" t="s">
        <v>37</v>
      </c>
      <c r="M7" s="5">
        <v>-21.243419930000002</v>
      </c>
      <c r="N7" t="s">
        <v>38</v>
      </c>
    </row>
    <row r="8" spans="1:14" x14ac:dyDescent="0.3">
      <c r="A8" s="7">
        <v>3.2297729999999998</v>
      </c>
      <c r="B8" t="s">
        <v>37</v>
      </c>
      <c r="C8" s="7">
        <v>1.503325</v>
      </c>
      <c r="D8" t="s">
        <v>37</v>
      </c>
      <c r="E8" s="10">
        <v>19.95</v>
      </c>
      <c r="F8" t="s">
        <v>37</v>
      </c>
      <c r="G8" s="6">
        <v>0.27805962699999998</v>
      </c>
      <c r="H8" t="s">
        <v>37</v>
      </c>
      <c r="I8" s="7">
        <v>1217.1255080000001</v>
      </c>
      <c r="J8" t="s">
        <v>37</v>
      </c>
      <c r="K8" s="6">
        <v>8.2160800000000004E-4</v>
      </c>
      <c r="L8" t="s">
        <v>37</v>
      </c>
      <c r="M8" s="5">
        <v>-22.39616942</v>
      </c>
      <c r="N8" t="s">
        <v>38</v>
      </c>
    </row>
    <row r="9" spans="1:14" x14ac:dyDescent="0.3">
      <c r="A9" s="7">
        <v>3.0744449999999999</v>
      </c>
      <c r="B9" t="s">
        <v>37</v>
      </c>
      <c r="C9" s="7">
        <v>1.453255</v>
      </c>
      <c r="D9" t="s">
        <v>37</v>
      </c>
      <c r="E9" s="10">
        <v>19.95</v>
      </c>
      <c r="F9" t="s">
        <v>37</v>
      </c>
      <c r="G9" s="6">
        <v>0.14557688599999999</v>
      </c>
      <c r="H9" t="s">
        <v>37</v>
      </c>
      <c r="I9" s="7">
        <v>1199.5197949999999</v>
      </c>
      <c r="J9" t="s">
        <v>37</v>
      </c>
      <c r="K9" s="6">
        <v>8.3366699999999996E-4</v>
      </c>
      <c r="L9" t="s">
        <v>37</v>
      </c>
      <c r="M9" s="5">
        <v>-23.01415935</v>
      </c>
      <c r="N9" t="s">
        <v>38</v>
      </c>
    </row>
    <row r="10" spans="1:14" x14ac:dyDescent="0.3">
      <c r="A10" s="7">
        <v>2.9283730000000001</v>
      </c>
      <c r="B10" t="s">
        <v>37</v>
      </c>
      <c r="C10" s="7">
        <v>1.403232</v>
      </c>
      <c r="D10" t="s">
        <v>37</v>
      </c>
      <c r="E10" s="10">
        <v>19.95</v>
      </c>
      <c r="F10" t="s">
        <v>37</v>
      </c>
      <c r="G10" s="6">
        <v>7.6130155000000005E-2</v>
      </c>
      <c r="H10" t="s">
        <v>37</v>
      </c>
      <c r="I10" s="7">
        <v>1184.154209</v>
      </c>
      <c r="J10" t="s">
        <v>37</v>
      </c>
      <c r="K10" s="6">
        <v>8.4448499999999996E-4</v>
      </c>
      <c r="L10" t="s">
        <v>37</v>
      </c>
      <c r="M10" s="5">
        <v>-23.636634220000001</v>
      </c>
      <c r="N10" t="s">
        <v>38</v>
      </c>
    </row>
    <row r="11" spans="1:14" x14ac:dyDescent="0.3">
      <c r="A11" s="7">
        <v>2.781434</v>
      </c>
      <c r="B11" t="s">
        <v>37</v>
      </c>
      <c r="C11" s="7">
        <v>1.353159</v>
      </c>
      <c r="D11" t="s">
        <v>37</v>
      </c>
      <c r="E11" s="10">
        <v>19.95</v>
      </c>
      <c r="F11" t="s">
        <v>37</v>
      </c>
      <c r="G11" s="6">
        <v>3.6787805E-2</v>
      </c>
      <c r="H11" t="s">
        <v>37</v>
      </c>
      <c r="I11" s="7">
        <v>1167.350044</v>
      </c>
      <c r="J11" t="s">
        <v>37</v>
      </c>
      <c r="K11" s="6">
        <v>8.56641E-4</v>
      </c>
      <c r="L11" t="s">
        <v>37</v>
      </c>
      <c r="M11" s="5">
        <v>-24.335327240000002</v>
      </c>
      <c r="N11" t="s">
        <v>38</v>
      </c>
    </row>
    <row r="12" spans="1:14" x14ac:dyDescent="0.3">
      <c r="A12" s="7">
        <v>2.6393550000000001</v>
      </c>
      <c r="B12" t="s">
        <v>37</v>
      </c>
      <c r="C12" s="7">
        <v>1.302945</v>
      </c>
      <c r="D12" t="s">
        <v>37</v>
      </c>
      <c r="E12" s="10">
        <v>19.95</v>
      </c>
      <c r="F12" t="s">
        <v>37</v>
      </c>
      <c r="G12" s="6">
        <v>1.8459474E-2</v>
      </c>
      <c r="H12" t="s">
        <v>37</v>
      </c>
      <c r="I12" s="7">
        <v>1151.3699959999999</v>
      </c>
      <c r="J12" t="s">
        <v>37</v>
      </c>
      <c r="K12" s="6">
        <v>8.6853099999999997E-4</v>
      </c>
      <c r="L12" t="s">
        <v>37</v>
      </c>
      <c r="M12" s="5">
        <v>-24.997348429999999</v>
      </c>
      <c r="N12" t="s">
        <v>38</v>
      </c>
    </row>
    <row r="13" spans="1:14" x14ac:dyDescent="0.3">
      <c r="A13" s="7">
        <v>2.5010340000000002</v>
      </c>
      <c r="B13" t="s">
        <v>37</v>
      </c>
      <c r="C13" s="7">
        <v>1.2528900000000001</v>
      </c>
      <c r="D13" t="s">
        <v>37</v>
      </c>
      <c r="E13" s="10">
        <v>19.95</v>
      </c>
      <c r="F13" t="s">
        <v>37</v>
      </c>
      <c r="G13" s="6">
        <v>1.0042047E-2</v>
      </c>
      <c r="H13" t="s">
        <v>37</v>
      </c>
      <c r="I13" s="7">
        <v>1135.580297</v>
      </c>
      <c r="J13" t="s">
        <v>37</v>
      </c>
      <c r="K13" s="6">
        <v>8.8060700000000005E-4</v>
      </c>
      <c r="L13" t="s">
        <v>37</v>
      </c>
      <c r="M13" s="5">
        <v>-25.578527739999998</v>
      </c>
      <c r="N13" t="s">
        <v>38</v>
      </c>
    </row>
    <row r="14" spans="1:14" x14ac:dyDescent="0.3">
      <c r="A14" s="7">
        <v>2.2268089999999998</v>
      </c>
      <c r="B14" t="s">
        <v>37</v>
      </c>
      <c r="C14" s="7">
        <v>1.1525890000000001</v>
      </c>
      <c r="D14" t="s">
        <v>37</v>
      </c>
      <c r="E14" s="10">
        <v>19.95</v>
      </c>
      <c r="F14" t="s">
        <v>37</v>
      </c>
      <c r="G14" s="6">
        <v>2.0230700000000001E-3</v>
      </c>
      <c r="H14" t="s">
        <v>37</v>
      </c>
      <c r="I14" s="7">
        <v>1101.1820479999999</v>
      </c>
      <c r="J14" t="s">
        <v>37</v>
      </c>
      <c r="K14" s="6">
        <v>9.0811500000000003E-4</v>
      </c>
      <c r="L14" t="s">
        <v>37</v>
      </c>
      <c r="M14" s="5">
        <v>-27.119173190000001</v>
      </c>
      <c r="N14" t="s">
        <v>38</v>
      </c>
    </row>
    <row r="15" spans="1:14" x14ac:dyDescent="0.3">
      <c r="A15" s="7"/>
      <c r="B15" s="7"/>
      <c r="C15" s="7"/>
      <c r="D15" s="7"/>
      <c r="E15" s="10"/>
      <c r="F15" s="10"/>
      <c r="G15" s="6"/>
      <c r="H15" s="6"/>
    </row>
    <row r="16" spans="1:14" x14ac:dyDescent="0.3">
      <c r="A16" s="7"/>
      <c r="B16" s="7"/>
      <c r="C16" s="7"/>
      <c r="D16" s="7"/>
      <c r="E16" s="10"/>
      <c r="F16" s="10"/>
      <c r="G16" s="6"/>
      <c r="H16" s="6"/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3"/>
  <sheetViews>
    <sheetView workbookViewId="0">
      <selection activeCell="A3" sqref="A3"/>
    </sheetView>
  </sheetViews>
  <sheetFormatPr defaultRowHeight="14.4" x14ac:dyDescent="0.3"/>
  <cols>
    <col min="1" max="1" width="26.5546875" customWidth="1"/>
  </cols>
  <sheetData>
    <row r="1" spans="1:1" x14ac:dyDescent="0.3">
      <c r="A1" t="s">
        <v>21</v>
      </c>
    </row>
    <row r="2" spans="1:1" x14ac:dyDescent="0.3">
      <c r="A2" t="s">
        <v>20</v>
      </c>
    </row>
    <row r="3" spans="1:1" x14ac:dyDescent="0.3">
      <c r="A3" s="11">
        <f>500*(((25-15)*10^(-3))/(15*10^(-3))*1/(0.045*10^(-3)*LN((17*10^(-3))/(0.045*10^(-3)))))</f>
        <v>1248234.7962942275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F M E A A B Q S w M E F A A C A A g A S 0 1 q T j A S n m q n A A A A + A A A A B I A H A B D b 2 5 m a W c v U G F j a 2 F n Z S 5 4 b W w g o h g A K K A U A A A A A A A A A A A A A A A A A A A A A A A A A A A A h Y + 9 D o I w G E V f h X S n P x A M I R 9 l Y J X E x M Q Y t 6 Z W a I R i a L G 8 m 4 O P 5 C t I o q i b 4 z 0 5 w 7 m P 2 x 2 K q W u D q x q s 7 k 2 O G K Y o U E b 2 R 2 3 q H I 3 u F K a o 4 L A R 8 i x q F c y y s d l k j z l q n L t k h H j v s Y 9 x P 9 Q k o p S R f b X e y k Z 1 A n 1 k / V 8 O t b F O G K k Q h 9 0 r h k d 4 l e A k Z j F m K Q O y Y K i 0 + S r R X I w p k B 8 I 5 d i 6 c V B c 2 r A 8 A F k m k P c L / g R Q S w M E F A A C A A g A S 0 1 q T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t N a k 5 + Y T y b S g E A A K M E A A A T A B w A R m 9 y b X V s Y X M v U 2 V j d G l v b j E u b S C i G A A o o B Q A A A A A A A A A A A A A A A A A A A A A A A A A A A D t U k t q A k E Q 3 Q / M H Z r O R q E Z H T U Q E 1 y I E u I u o G Z h D K H V G p z Y H + n P E C O e J C s P 4 A U C r i a 5 V 9 o Y E Y y S D y 7 T N D T 9 q u p V 8 V 5 p 6 J t Y C t R c v + G F 7 / m e H l I F A 9 Q D R c V 9 I w r P U A U x M L 6 H 3 O k M l H x w Q E 0 n Q V 3 2 L Q d h M p c x g 6 A m h X E f n c H 1 8 + 5 Y 0 Z G J R 5 a j Y j d f 7 G 6 5 A v N o c J a U C M Z E W M Z I W D j N Z 8 m a / A R 3 + O u z c D d d I j M Z Y 9 e o R X u O v O X q d S Q V r 0 l m u W h N x q A z H 7 O Q 6 R S v w R C T V R E g Y b l r O C N o E y k c j B Q P R k o 7 k V n W 9 2 J x Y M 6 v u r V p I X 8 s 3 V Z c 3 + m W z o e M J u k C a U B P S b p 8 m 4 O Q F q U v S i Y i X W y V v F a S S w N X Q A e g N h q i 2 0 + 4 y l i z T x l V u m K U h b s / O v O D g V a + t a P c z R 4 D G l G u u g d u 0 / 3 Z N G d 3 0 3 9 p l l v M 8 h G X v P x v 1 v H M e g d Q S w E C L Q A U A A I A C A B L T W p O M B K e a q c A A A D 4 A A A A E g A A A A A A A A A A A A A A A A A A A A A A Q 2 9 u Z m l n L 1 B h Y 2 t h Z 2 U u e G 1 s U E s B A i 0 A F A A C A A g A S 0 1 q T g / K 6 a u k A A A A 6 Q A A A B M A A A A A A A A A A A A A A A A A 8 w A A A F t D b 2 5 0 Z W 5 0 X 1 R 5 c G V z X S 5 4 b W x Q S w E C L Q A U A A I A C A B L T W p O f m E 8 m 0 o B A A C j B A A A E w A A A A A A A A A A A A A A A A D k A Q A A R m 9 y b X V s Y X M v U 2 V j d G l v b j E u b V B L B Q Y A A A A A A w A D A M I A A A B 7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K G w A A A A A A A O g a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i Z X J h b l 9 J Z j E 4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Y m V y Y W 5 f S W Y x O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M y 0 x M F Q w O D o z N D o x N C 4 2 M j Q 0 N z g 5 W i I g L z 4 8 R W 5 0 c n k g V H l w Z T 0 i R m l s b E N v b H V t b l R 5 c G V z I i B W Y W x 1 Z T 0 i c 0 J R V U Z C U T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i Z X J h b l 9 J Z j E 4 L 1 p t x J t u x J t u w 7 0 g d H l w L n t D b 2 x 1 b W 4 x L D B 9 J n F 1 b 3 Q 7 L C Z x d W 9 0 O 1 N l Y 3 R p b 2 4 x L 2 J l c m F u X 0 l m M T g v W m 3 E m 2 7 E m 2 7 D v S B 0 e X A u e 0 N v b H V t b j I s M X 0 m c X V v d D s s J n F 1 b 3 Q 7 U 2 V j d G l v b j E v Y m V y Y W 5 f S W Y x O C 9 a b c S b b s S b b s O 9 I H R 5 c C 5 7 Q 2 9 s d W 1 u M y w y f S Z x d W 9 0 O y w m c X V v d D t T Z W N 0 a W 9 u M S 9 i Z X J h b l 9 J Z j E 4 L 1 p t x J t u x J t u w 7 0 g d H l w L n t D b 2 x 1 b W 4 0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2 J l c m F u X 0 l m M T g v W m 3 E m 2 7 E m 2 7 D v S B 0 e X A u e 0 N v b H V t b j E s M H 0 m c X V v d D s s J n F 1 b 3 Q 7 U 2 V j d G l v b j E v Y m V y Y W 5 f S W Y x O C 9 a b c S b b s S b b s O 9 I H R 5 c C 5 7 Q 2 9 s d W 1 u M i w x f S Z x d W 9 0 O y w m c X V v d D t T Z W N 0 a W 9 u M S 9 i Z X J h b l 9 J Z j E 4 L 1 p t x J t u x J t u w 7 0 g d H l w L n t D b 2 x 1 b W 4 z L D J 9 J n F 1 b 3 Q 7 L C Z x d W 9 0 O 1 N l Y 3 R p b 2 4 x L 2 J l c m F u X 0 l m M T g v W m 3 E m 2 7 E m 2 7 D v S B 0 e X A u e 0 N v b H V t b j Q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J l c m F u X 0 l m M T g v W m R y b 2 o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Z X J h b l 9 J Z j E 4 L 1 p t J U M 0 J T l C b i V D N C U 5 Q m 4 l Q z M l Q k Q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Z X J h b l 9 V Y T I w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Y m V y Y W 5 f V W E y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M y 0 x M F Q w O D o 0 M T o w M y 4 2 O D E 2 M j M 0 W i I g L z 4 8 R W 5 0 c n k g V H l w Z T 0 i R m l s b E N v b H V t b l R 5 c G V z I i B W Y W x 1 Z T 0 i c 0 J R V U Z C U T 0 9 I i A v P j x F b n R y e S B U e X B l P S J G a W x s Q 2 9 s d W 1 u T m F t Z X M i I F Z h b H V l P S J z W y Z x d W 9 0 O 1 V m L 1 Y m c X V v d D s s J n F 1 b 3 Q 7 S W Y v Q S Z x d W 9 0 O y w m c X V v d D t V Y S 9 W J n F 1 b 3 Q 7 L C Z x d W 9 0 O 0 l h L 3 V B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m V y Y W 5 f V W E y M C 9 a b c S b b s S b b s O 9 I H R 5 c C 5 7 V W Y v V i w w f S Z x d W 9 0 O y w m c X V v d D t T Z W N 0 a W 9 u M S 9 i Z X J h b l 9 V Y T I w L 1 p t x J t u x J t u w 7 0 g d H l w L n t J Z i 9 B L D F 9 J n F 1 b 3 Q 7 L C Z x d W 9 0 O 1 N l Y 3 R p b 2 4 x L 2 J l c m F u X 1 V h M j A v W m 3 E m 2 7 E m 2 7 D v S B 0 e X A u e 1 V h L 1 Y s M n 0 m c X V v d D s s J n F 1 b 3 Q 7 U 2 V j d G l v b j E v Y m V y Y W 5 f V W E y M C 9 a b c S b b s S b b s O 9 I H R 5 c C 5 7 S W E v d U E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Y m V y Y W 5 f V W E y M C 9 a b c S b b s S b b s O 9 I H R 5 c C 5 7 V W Y v V i w w f S Z x d W 9 0 O y w m c X V v d D t T Z W N 0 a W 9 u M S 9 i Z X J h b l 9 V Y T I w L 1 p t x J t u x J t u w 7 0 g d H l w L n t J Z i 9 B L D F 9 J n F 1 b 3 Q 7 L C Z x d W 9 0 O 1 N l Y 3 R p b 2 4 x L 2 J l c m F u X 1 V h M j A v W m 3 E m 2 7 E m 2 7 D v S B 0 e X A u e 1 V h L 1 Y s M n 0 m c X V v d D s s J n F 1 b 3 Q 7 U 2 V j d G l v b j E v Y m V y Y W 5 f V W E y M C 9 a b c S b b s S b b s O 9 I H R 5 c C 5 7 S W E v d U E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J l c m F u X 1 V h M j A v W m R y b 2 o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Z X J h b l 9 V Y T I w L 1 o l Q z M l Q T F o b G F 2 J U M z J U F E J T I w c 2 U l M j B 6 d i V D M y V C R C V D N S V B M W V u b 3 U l M j A l Q z M l Q k F y b 3 Z u J U M z J U F E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m V y Y W 5 f V W E y M C 9 a b S V D N C U 5 Q m 4 l Q z Q l O U J u J U M z J U J E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m V y Y W 5 f S W Y x O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2 J l c m F u X 0 l m M T k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T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M t M T B U M D g 6 N D I 6 M j M u M j I 5 O T Q w N 1 o i I C 8 + P E V u d H J 5 I F R 5 c G U 9 I k Z p b G x D b 2 x 1 b W 5 U e X B l c y I g V m F s d W U 9 I n N C U V V G Q l E 9 P S I g L z 4 8 R W 5 0 c n k g V H l w Z T 0 i R m l s b E N v b H V t b k 5 h b W V z I i B W Y W x 1 Z T 0 i c 1 s m c X V v d D t V Z i 9 W J n F 1 b 3 Q 7 L C Z x d W 9 0 O 0 l m L 0 E m c X V v d D s s J n F 1 b 3 Q 7 V W E v V i Z x d W 9 0 O y w m c X V v d D t J Y S 9 1 Q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J l c m F u X 0 l m M T k v W m 3 E m 2 7 E m 2 7 D v S B 0 e X A u e 1 V m L 1 Y s M H 0 m c X V v d D s s J n F 1 b 3 Q 7 U 2 V j d G l v b j E v Y m V y Y W 5 f S W Y x O S 9 a b c S b b s S b b s O 9 I H R 5 c C 5 7 S W Y v Q S w x f S Z x d W 9 0 O y w m c X V v d D t T Z W N 0 a W 9 u M S 9 i Z X J h b l 9 J Z j E 5 L 1 p t x J t u x J t u w 7 0 g d H l w L n t V Y S 9 W L D J 9 J n F 1 b 3 Q 7 L C Z x d W 9 0 O 1 N l Y 3 R p b 2 4 x L 2 J l c m F u X 0 l m M T k v W m 3 E m 2 7 E m 2 7 D v S B 0 e X A u e 0 l h L 3 V B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2 J l c m F u X 0 l m M T k v W m 3 E m 2 7 E m 2 7 D v S B 0 e X A u e 1 V m L 1 Y s M H 0 m c X V v d D s s J n F 1 b 3 Q 7 U 2 V j d G l v b j E v Y m V y Y W 5 f S W Y x O S 9 a b c S b b s S b b s O 9 I H R 5 c C 5 7 S W Y v Q S w x f S Z x d W 9 0 O y w m c X V v d D t T Z W N 0 a W 9 u M S 9 i Z X J h b l 9 J Z j E 5 L 1 p t x J t u x J t u w 7 0 g d H l w L n t V Y S 9 W L D J 9 J n F 1 b 3 Q 7 L C Z x d W 9 0 O 1 N l Y 3 R p b 2 4 x L 2 J l c m F u X 0 l m M T k v W m 3 E m 2 7 E m 2 7 D v S B 0 e X A u e 0 l h L 3 V B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i Z X J h b l 9 J Z j E 5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m V y Y W 5 f S W Y x O S 9 a J U M z J U E x a G x h d i V D M y V B R C U y M H N l J T I w e n Y l Q z M l Q k Q l Q z U l Q T F l b m 9 1 J T I w J U M z J U J B c m 9 2 b i V D M y V B R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J l c m F u X 0 l m M T k v W m 0 l Q z Q l O U J u J U M 0 J T l C b i V D M y V C R C U y M H R 5 c D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u 0 b F Q R V Q t R p u p p A b r W G P O A A A A A A I A A A A A A B B m A A A A A Q A A I A A A A K / 8 p 4 4 B e e 3 Z y z F F 3 B 8 F B Y G j / v B k S r 2 I f D n S + C + N 0 d Q q A A A A A A 6 A A A A A A g A A I A A A A E k W T 1 9 0 7 k z + o V + o G j x x W T O g B J M 4 o D B Z 0 x C c J d u C A K d U U A A A A M A B l 1 O 0 z t m H m A B 0 p a D g Y 0 i D H G L 0 b H 0 4 P u G C Q h f b N i V z b 3 4 G W s 1 n / + + i m v R l y K 0 a 1 h B a l o a s c 6 / M E 1 1 a X N P b Y j k e G x D i u s V a f W x D u i U g 0 b 5 9 Q A A A A I C l K H N 6 C N P j e K S Y p r k r + / 6 O h y G I z w m g K O 4 J Z h + V D X J O 6 2 M L q 4 P T s M + H O V S g Q 9 E v 0 R 5 e Z d + W c j w f g U u N f u + R w M 4 = < / D a t a M a s h u p > 
</file>

<file path=customXml/itemProps1.xml><?xml version="1.0" encoding="utf-8"?>
<ds:datastoreItem xmlns:ds="http://schemas.openxmlformats.org/officeDocument/2006/customXml" ds:itemID="{55E6692F-FA5D-4881-BC8B-F7C9606F0BD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Teoreticky_proud</vt:lpstr>
      <vt:lpstr>If18</vt:lpstr>
      <vt:lpstr>if19</vt:lpstr>
      <vt:lpstr>IF18_AGAIN</vt:lpstr>
      <vt:lpstr>IF19_AGAIN</vt:lpstr>
      <vt:lpstr>Ua 20</vt:lpstr>
      <vt:lpstr>LaTeX U_a 20 - Work</vt:lpstr>
      <vt:lpstr>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2019-05-04T20:18:13Z</dcterms:modified>
</cp:coreProperties>
</file>